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ables/table2.xml" ContentType="application/vnd.openxmlformats-officedocument.spreadsheetml.table+xml"/>
  <Override PartName="/xl/drawings/drawing4.xml" ContentType="application/vnd.openxmlformats-officedocument.drawing+xml"/>
  <Override PartName="/xl/comments3.xml" ContentType="application/vnd.openxmlformats-officedocument.spreadsheetml.comments+xml"/>
  <Override PartName="/xl/tables/table3.xml" ContentType="application/vnd.openxmlformats-officedocument.spreadsheetml.table+xml"/>
  <Override PartName="/xl/drawings/drawing5.xml" ContentType="application/vnd.openxmlformats-officedocument.drawing+xml"/>
  <Override PartName="/xl/comments4.xml" ContentType="application/vnd.openxmlformats-officedocument.spreadsheetml.comments+xml"/>
  <Override PartName="/xl/tables/table4.xml" ContentType="application/vnd.openxmlformats-officedocument.spreadsheetml.table+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comments7.xml" ContentType="application/vnd.openxmlformats-officedocument.spreadsheetml.comments+xml"/>
  <Override PartName="/xl/tables/table19.xml" ContentType="application/vnd.openxmlformats-officedocument.spreadsheetml.table+xml"/>
  <Override PartName="/xl/drawings/drawing8.xml" ContentType="application/vnd.openxmlformats-officedocument.drawing+xml"/>
  <Override PartName="/xl/comments8.xml" ContentType="application/vnd.openxmlformats-officedocument.spreadsheetml.comments+xml"/>
  <Override PartName="/xl/tables/table20.xml" ContentType="application/vnd.openxmlformats-officedocument.spreadsheetml.table+xml"/>
  <Override PartName="/xl/drawings/drawing9.xml" ContentType="application/vnd.openxmlformats-officedocument.drawing+xml"/>
  <Override PartName="/xl/comments9.xml" ContentType="application/vnd.openxmlformats-officedocument.spreadsheetml.comments+xml"/>
  <Override PartName="/xl/tables/table21.xml" ContentType="application/vnd.openxmlformats-officedocument.spreadsheetml.table+xml"/>
  <Override PartName="/xl/drawings/drawing10.xml" ContentType="application/vnd.openxmlformats-officedocument.drawing+xml"/>
  <Override PartName="/xl/comments10.xml" ContentType="application/vnd.openxmlformats-officedocument.spreadsheetml.comments+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workbookPr codeName="ThisWorkbook" defaultThemeVersion="166925"/>
  <mc:AlternateContent xmlns:mc="http://schemas.openxmlformats.org/markup-compatibility/2006">
    <mc:Choice Requires="x15">
      <x15ac:absPath xmlns:x15ac="http://schemas.microsoft.com/office/spreadsheetml/2010/11/ac" url="C:\Users\chowds02\Desktop\Expansion team\Schools\"/>
    </mc:Choice>
  </mc:AlternateContent>
  <xr:revisionPtr revIDLastSave="0" documentId="8_{6F731581-F760-4650-A32C-DBDD952F6551}" xr6:coauthVersionLast="47" xr6:coauthVersionMax="47" xr10:uidLastSave="{00000000-0000-0000-0000-000000000000}"/>
  <workbookProtection workbookAlgorithmName="SHA-512" workbookHashValue="piVcwnbXactaSiZZKD70bb4k4TVsSgWbOckDxTs2NkW9EC/wkLa2D1ZU7bnsoGCGe6XPpi480pM3fYwv1NlAhA==" workbookSaltValue="R9S5uorfrFG/c96Bjj4Nag==" workbookSpinCount="100000" lockStructure="1"/>
  <bookViews>
    <workbookView xWindow="-108" yWindow="-108" windowWidth="41496" windowHeight="16896" tabRatio="717" xr2:uid="{4D48AE33-C944-425E-B4BA-935E5311B560}"/>
  </bookViews>
  <sheets>
    <sheet name="Read Me" sheetId="94" r:id="rId1"/>
    <sheet name="Office" sheetId="28" state="hidden" r:id="rId2"/>
    <sheet name="Office Single Line" sheetId="23" state="hidden" r:id="rId3"/>
    <sheet name="Apartment" sheetId="67" state="hidden" r:id="rId4"/>
    <sheet name="Apartment Single Line" sheetId="66" state="hidden" r:id="rId5"/>
    <sheet name="Data Centre" sheetId="68" state="hidden" r:id="rId6"/>
    <sheet name="Data Centre Single Line" sheetId="69" state="hidden" r:id="rId7"/>
    <sheet name="Hotel" sheetId="65" state="hidden" r:id="rId8"/>
    <sheet name="Hotel Single Line" sheetId="21" state="hidden" r:id="rId9"/>
    <sheet name="Shopping Centre" sheetId="30" state="hidden" r:id="rId10"/>
    <sheet name="Schools Reverse Calculator" sheetId="99" r:id="rId11"/>
    <sheet name="School Single Line" sheetId="100" state="hidden" r:id="rId12"/>
    <sheet name="Shopping Centre Single Line" sheetId="19" state="hidden" r:id="rId13"/>
    <sheet name="SGEx" sheetId="14" state="hidden" r:id="rId14"/>
    <sheet name="Climate References" sheetId="2" state="hidden" r:id="rId15"/>
    <sheet name="Hospital" sheetId="78" r:id="rId16"/>
    <sheet name="Hospital Single Line" sheetId="79" state="hidden" r:id="rId17"/>
    <sheet name="RACRL Front End" sheetId="80" state="hidden" r:id="rId18"/>
    <sheet name="RACRL Single Line" sheetId="81" state="hidden" r:id="rId19"/>
    <sheet name="WACS Front End" sheetId="97" r:id="rId20"/>
    <sheet name="WACS Single Line" sheetId="98" state="hidden" r:id="rId21"/>
    <sheet name="Adjustment coeffients" sheetId="24" state="hidden" r:id="rId22"/>
    <sheet name="Reference Lists" sheetId="33" state="hidden" r:id="rId23"/>
    <sheet name="Benchmark Factors" sheetId="15" state="hidden" r:id="rId24"/>
    <sheet name="NGA Factors 2021" sheetId="17" state="hidden" r:id="rId25"/>
    <sheet name="NGA Factors 2022" sheetId="96" state="hidden" r:id="rId26"/>
    <sheet name="Version Notes" sheetId="95" state="hidden" r:id="rId27"/>
  </sheets>
  <externalReferences>
    <externalReference r:id="rId28"/>
  </externalReferences>
  <definedNames>
    <definedName name="_xlnm._FilterDatabase" localSheetId="14" hidden="1">'Climate References'!$A$3:$D$3730</definedName>
    <definedName name="_xlnm._FilterDatabase" localSheetId="10" hidden="1">'Schools Reverse Calculator'!#REF!</definedName>
    <definedName name="Apartment_BF_Rating_Correction">'Adjustment coeffients'!$C$78</definedName>
    <definedName name="Apartment_C_E_CAC">'Adjustment coeffients'!$C$59</definedName>
    <definedName name="Apartment_C_E_CW">'Adjustment coeffients'!$C$60</definedName>
    <definedName name="Apartment_C_E_gym">'Adjustment coeffients'!$C$65</definedName>
    <definedName name="Apartment_C_E_Intercept">'Adjustment coeffients'!$C$58</definedName>
    <definedName name="Apartment_C_E_lift">'Adjustment coeffients'!$C$62</definedName>
    <definedName name="Apartment_C_E_MVCP">'Adjustment coeffients'!$C$66</definedName>
    <definedName name="Apartment_C_E_NCS">'Adjustment coeffients'!$C$61</definedName>
    <definedName name="Apartment_C_E_NVCP">'Adjustment coeffients'!$C$68</definedName>
    <definedName name="Apartment_C_E_NVCPAdjusted">'Adjustment coeffients'!$C$67</definedName>
    <definedName name="Apartment_C_E_pool">'Adjustment coeffients'!$C$64</definedName>
    <definedName name="Apartment_C_E_pool_noheat">'Adjustment coeffients'!$C$63</definedName>
    <definedName name="Apartment_C_W_AWMACDHW">'Adjustment coeffients'!$C$71</definedName>
    <definedName name="Apartment_C_W_AWMACNoDHW">'Adjustment coeffients'!$C$73</definedName>
    <definedName name="Apartment_C_W_AWMNoACDHW">'Adjustment coeffients'!$C$72</definedName>
    <definedName name="Apartment_C_W_AWMNoACNoDHW">'Adjustment coeffients'!$C$74</definedName>
    <definedName name="Apartment_C_W_SWMAC">'Adjustment coeffients'!$C$69</definedName>
    <definedName name="Apartment_C_W_SWMNoAC">'Adjustment coeffients'!$C$70</definedName>
    <definedName name="Apartment_Centrally_AC_Rooms">Apartment!$I$23</definedName>
    <definedName name="Apartment_Centrally_Water_Metered">Apartment!$I$35</definedName>
    <definedName name="Apartment_Condenser_Water_Rooms">Apartment!$I$24</definedName>
    <definedName name="Apartment_CP_Mech">Apartment!$I$32</definedName>
    <definedName name="Apartment_CP_Natural">Apartment!$I$33</definedName>
    <definedName name="Apartment_Diesel_FWD">Apartment!$G$81</definedName>
    <definedName name="Apartment_Diesel_Percent">Apartment!$I$42</definedName>
    <definedName name="Apartment_Elec_FWD">Apartment!$G$79</definedName>
    <definedName name="Apartment_Elec_Percent">Apartment!$I$40</definedName>
    <definedName name="Apartment_Gas_FWD">Apartment!$G$80</definedName>
    <definedName name="Apartment_Gas_Percent">Apartment!$I$41</definedName>
    <definedName name="Apartment_GreenPower_Percent_FWD">Apartment!$G$82</definedName>
    <definedName name="Apartment_Gym">Apartment!$I$30</definedName>
    <definedName name="Apartment_Gym_TMGA">Apartment!$I$31</definedName>
    <definedName name="Apartment_Lift_Serviced_Rooms">Apartment!$I$27</definedName>
    <definedName name="Apartment_Own_CWM_DHW">Apartment!$I$36</definedName>
    <definedName name="Apartment_Own_CWM_No_DHW">Apartment!$I$37</definedName>
    <definedName name="Apartment_Pool">Apartment!$I$28</definedName>
    <definedName name="Apartment_Pool_TMPA">Apartment!$I$29</definedName>
    <definedName name="Apartment_Postcode">Apartment!$I$21</definedName>
    <definedName name="Apartment_RW_Percent_FWD">Apartment!$G$92</definedName>
    <definedName name="Apartment_State_Specific_Adjustment">'Adjustment coeffients'!$C$76</definedName>
    <definedName name="Apartment_Target_Energy">Apartment!$E$12</definedName>
    <definedName name="Apartment_Target_Water">Apartment!$E$14</definedName>
    <definedName name="Apartment_Total_AC">Apartment!$I$38</definedName>
    <definedName name="Apartment_Total_Number_Rooms">Apartment!$I$22</definedName>
    <definedName name="Apartment_Unserviced_Rooms">Apartment!$I$25</definedName>
    <definedName name="Apartment_Water_FWD">Apartment!$G$91</definedName>
    <definedName name="Data_Centre_Assessable_IT_Energy">'Data Centre'!$I$28</definedName>
    <definedName name="Data_Centre_Assessable_Processing">'Data Centre'!$I$24</definedName>
    <definedName name="Data_Centre_Assessable_Storage">'Data Centre'!$I$25</definedName>
    <definedName name="Data_Centre_C_Ave_CRAC_Performance">'Adjustment coeffients'!$C$94</definedName>
    <definedName name="Data_Centre_C_Average_Sample_CDD">'Adjustment coeffients'!$C$92</definedName>
    <definedName name="Data_Centre_C_CRAC_Increase_Per_DEG">'Adjustment coeffients'!$C$93</definedName>
    <definedName name="Data_Centre_C_FWD_Star_Band_Residual_Adjustment">'Adjustment coeffients'!$C$104</definedName>
    <definedName name="Data_Centre_C_Heat_Rejection_Plant_Per_Heat_Rejected">'Adjustment coeffients'!$C$95</definedName>
    <definedName name="Data_Centre_C_Infrastructure">'Adjustment coeffients'!$C$100</definedName>
    <definedName name="Data_Centre_C_Infrastructure_Median_Emissions_Index">'Adjustment coeffients'!$C$91</definedName>
    <definedName name="Data_Centre_C_IT_Median_Residual_Correction">'Adjustment coeffients'!$C$88</definedName>
    <definedName name="Data_Centre_C_IT_Workload">'Adjustment coeffients'!$C$99</definedName>
    <definedName name="Data_Centre_C_Median_Performance">'Adjustment coeffients'!$C$98</definedName>
    <definedName name="Data_Centre_C_Processing">'Adjustment coeffients'!$C$86</definedName>
    <definedName name="Data_Centre_C_Reverse_Star_Band_Residual_Adjustment">'Adjustment coeffients'!$C$103</definedName>
    <definedName name="Data_Centre_C_Storage">'Adjustment coeffients'!$C$87</definedName>
    <definedName name="Data_Centre_C_WholeFacility">'Adjustment coeffients'!$C$101</definedName>
    <definedName name="Data_Centre_Diesel_FWD">'Data Centre'!$G$57</definedName>
    <definedName name="Data_Centre_Diesel_Percent">'Data Centre'!$I$31</definedName>
    <definedName name="Data_Centre_Elec_FWD">'Data Centre'!$G$56</definedName>
    <definedName name="Data_Centre_Elec_Percent">'Data Centre'!$I$30</definedName>
    <definedName name="Data_Centre_GreenPower_Percent_FWD">'Data Centre'!$G$58</definedName>
    <definedName name="Data_Centre_Percent_Metered_Heat_Rejection">'Data Centre'!$I$27</definedName>
    <definedName name="Data_Centre_Postcode">'Data Centre'!$I$23</definedName>
    <definedName name="Data_Centre_Rating_Period">'Data Centre'!$I$26</definedName>
    <definedName name="Data_Centre_Rating_Type">'Data Centre'!$E$12</definedName>
    <definedName name="Data_Centre_Target_Energy">'Data Centre'!$E$16</definedName>
    <definedName name="GFA">[1]School!$H$16</definedName>
    <definedName name="Hospital_C_E_CDD_a">'Adjustment coeffients'!$B$126</definedName>
    <definedName name="Hospital_C_E_CDD_b">'Adjustment coeffients'!$B$127</definedName>
    <definedName name="Hospital_C_E_ch">'Adjustment coeffients'!$B$131</definedName>
    <definedName name="Hospital_C_E_prh">'Adjustment coeffients'!$B$130</definedName>
    <definedName name="Hospital_C_E_Seps_a">'Adjustment coeffients'!$B$121</definedName>
    <definedName name="Hospital_C_E_Seps_b">'Adjustment coeffients'!$B$122</definedName>
    <definedName name="Hospital_C_E_TL_a_1">'Adjustment coeffients'!$B$116</definedName>
    <definedName name="Hospital_C_E_TL_a_2">'Adjustment coeffients'!$B$117</definedName>
    <definedName name="Hospital_C_E_TL_a_3">'Adjustment coeffients'!$B$118</definedName>
    <definedName name="Hospital_C_E_TL_b_1">'Adjustment coeffients'!$C$116</definedName>
    <definedName name="Hospital_C_E_TL_b_2">'Adjustment coeffients'!$C$117</definedName>
    <definedName name="Hospital_C_E_TL_b_3">'Adjustment coeffients'!$C$118</definedName>
    <definedName name="Hospital_C_E_wh">'Adjustment coeffients'!$B$132</definedName>
    <definedName name="Hospital_C_W_CDD_a">'Adjustment coeffients'!$B$158</definedName>
    <definedName name="Hospital_C_W_CDD_b">'Adjustment coeffients'!$B$159</definedName>
    <definedName name="Hospital_C_W_prh">'Adjustment coeffients'!$B$162</definedName>
    <definedName name="Hospital_C_W_Seps_a">'Adjustment coeffients'!$B$153</definedName>
    <definedName name="Hospital_C_W_Seps_b">'Adjustment coeffients'!$B$154</definedName>
    <definedName name="Hospital_C_W_TL_a_1">'Adjustment coeffients'!$B$148</definedName>
    <definedName name="Hospital_C_W_TL_a_2">'Adjustment coeffients'!$B$149</definedName>
    <definedName name="Hospital_C_W_TL_a_3">'Adjustment coeffients'!$B$150</definedName>
    <definedName name="Hospital_C_W_TL_b_1">'Adjustment coeffients'!$C$148</definedName>
    <definedName name="Hospital_C_W_TL_b_2">'Adjustment coeffients'!$C$149</definedName>
    <definedName name="Hospital_C_W_TL_b_3">'Adjustment coeffients'!$C$150</definedName>
    <definedName name="Hospital_CFACB">Hospital!$I$25</definedName>
    <definedName name="Hospital_CFACBDays">Hospital!$I$26</definedName>
    <definedName name="Hospital_Diesel_FWD">Hospital!$G$71</definedName>
    <definedName name="Hospital_Diesel_Percent">Hospital!$I$31</definedName>
    <definedName name="Hospital_Elec_FWD">Hospital!$G$69</definedName>
    <definedName name="Hospital_Elec_Percent">Hospital!$I$28</definedName>
    <definedName name="Hospital_Gas_FWD">Hospital!$G$70</definedName>
    <definedName name="Hospital_Gas_Percent">Hospital!$I$29</definedName>
    <definedName name="Hospital_GreenPower_Percent_FWD">Hospital!$G$73</definedName>
    <definedName name="Hospital_LPG_FWD">Hospital!$G$72</definedName>
    <definedName name="Hospital_LPG_Percent">Hospital!$I$30</definedName>
    <definedName name="Hospital_OBD">Hospital!$I$23</definedName>
    <definedName name="Hospital_Peer_Group">Hospital!$I$22</definedName>
    <definedName name="Hospital_Postcode">Hospital!$I$21</definedName>
    <definedName name="Hospital_RW_Percent_FWD">Hospital!$G$83</definedName>
    <definedName name="Hospital_Seps">Hospital!$I$24</definedName>
    <definedName name="Hospital_Target_Energy">Hospital!$E$12</definedName>
    <definedName name="Hospital_Target_Water">Hospital!$E$14</definedName>
    <definedName name="Hospital_Water_FWD">Hospital!$G$82</definedName>
    <definedName name="Hotel_AAA_Star_Rating">Hotel!$I$22</definedName>
    <definedName name="Hotel_C_E_AAA_Rating">'Adjustment coeffients'!$C$172</definedName>
    <definedName name="Hotel_C_E_Cooling">'Adjustment coeffients'!$C$171</definedName>
    <definedName name="Hotel_C_E_Function_Seats">'Adjustment coeffients'!$C$174</definedName>
    <definedName name="Hotel_C_E_GGeneral_elec">'Adjustment coeffients'!$C$175</definedName>
    <definedName name="Hotel_C_E_HDD">'Adjustment coeffients'!$C$168</definedName>
    <definedName name="Hotel_C_E_Median_R_above_5_stars">'Adjustment coeffients'!$C$179</definedName>
    <definedName name="Hotel_C_E_Median_Rating">'Adjustment coeffients'!$C$177</definedName>
    <definedName name="Hotel_C_E_Nfsl">'Adjustment coeffients'!$C$169</definedName>
    <definedName name="Hotel_C_E_Offset_AAA_Rating">'Adjustment coeffients'!$C$173</definedName>
    <definedName name="Hotel_C_E_Pool">'Adjustment coeffients'!$C$170</definedName>
    <definedName name="Hotel_C_E_Rating_Coefficient">'Adjustment coeffients'!$C$178</definedName>
    <definedName name="Hotel_C_E_Rating_Coefficient_above_5_stars">'Adjustment coeffients'!$C$180</definedName>
    <definedName name="Hotel_C_E_Residual_Rating_Offset">'Adjustment coeffients'!$C$181</definedName>
    <definedName name="Hotel_C_FWD_Star_Band_Residual_Adjustment">'Adjustment coeffients'!$C$199</definedName>
    <definedName name="Hotel_C_Reverse_Star_Band_Residual_Adjustment">'Adjustment coeffients'!$C$198</definedName>
    <definedName name="Hotel_C_W_5_star_ref">'Adjustment coeffients'!$C$194</definedName>
    <definedName name="Hotel_C_W_5star_CDD0">'Adjustment coeffients'!$C$192</definedName>
    <definedName name="Hotel_C_W_AAA_Rating">'Adjustment coeffients'!$C$188</definedName>
    <definedName name="Hotel_C_W_Cooling">'Adjustment coeffients'!$C$190</definedName>
    <definedName name="Hotel_C_W_Function_Seats">'Adjustment coeffients'!$C$191</definedName>
    <definedName name="Hotel_C_W_Median_Rating">'Adjustment coeffients'!$C$195</definedName>
    <definedName name="Hotel_C_W_Nfsl">'Adjustment coeffients'!$C$187</definedName>
    <definedName name="Hotel_C_W_Offset">'Adjustment coeffients'!$C$185</definedName>
    <definedName name="Hotel_C_W_Offset_AAA_Rating">'Adjustment coeffients'!$C$189</definedName>
    <definedName name="Hotel_C_W_Rating_Coefficient">'Adjustment coeffients'!$C$196</definedName>
    <definedName name="Hotel_Diesel_FWD">Hotel!$G$69</definedName>
    <definedName name="Hotel_Diesel_Percent">Hotel!$I$30</definedName>
    <definedName name="Hotel_Elec_FWD">Hotel!$G$67</definedName>
    <definedName name="Hotel_Elec_Percent">Hotel!$I$28</definedName>
    <definedName name="Hotel_Full_Laundry_Rooms">Hotel!$I$24</definedName>
    <definedName name="Hotel_Function_Room_Seats">Hotel!$I$25</definedName>
    <definedName name="Hotel_Gas_FWD">Hotel!$G$68</definedName>
    <definedName name="Hotel_Gas_Percent">Hotel!$I$29</definedName>
    <definedName name="Hotel_GreenPower_Percent_FWD">Hotel!$G$70</definedName>
    <definedName name="Hotel_Guest_Rooms">Hotel!$I$23</definedName>
    <definedName name="Hotel_Heated_Pool_Area">Hotel!$I$26</definedName>
    <definedName name="Hotel_Postcode">Hotel!$I$21</definedName>
    <definedName name="Hotel_RW_Percent_FWD">Hotel!$G$80</definedName>
    <definedName name="Hotel_Target_Energy">Hotel!$E$12</definedName>
    <definedName name="Hotel_Target_Water">Hotel!$E$14</definedName>
    <definedName name="Hotel_Water_FWD">Hotel!$G$79</definedName>
    <definedName name="List_Apartment_Gym_Present">'Reference Lists'!$A$13:$A$15</definedName>
    <definedName name="List_Apartment_Swimming_Pool_Type">'Reference Lists'!$A$4:$A$7</definedName>
    <definedName name="List_Data_Centre_Rating_Type">'Reference Lists'!$A$20:$A$23</definedName>
    <definedName name="List_Hospital_Peer_Group">'Reference Lists'!$A$29:$A$43</definedName>
    <definedName name="List_Hotel_Star_Rating">'Reference Lists'!$A$48:$A$55</definedName>
    <definedName name="List_Office_Rating_Type">'Reference Lists'!$A$62:$A$65</definedName>
    <definedName name="List_RACRL_Pool_Laundry_Present">'Reference Lists'!$A$85:$A$87</definedName>
    <definedName name="List_RACRL_Rating_Type">'Reference Lists'!$A$79:$A$82</definedName>
    <definedName name="List_Shopping_Centre_Floor_Type">'Reference Lists'!$A$71:$A$73</definedName>
    <definedName name="List_Warehouse_Cold_Store_Presence">'Reference Lists'!$A$102:$A$104</definedName>
    <definedName name="List_Warehouse_Operational_Data_Availability">'Reference Lists'!$A$94:$A$97</definedName>
    <definedName name="Office_C_E_A_beyond_5_stars">'Adjustment coeffients'!$C$229</definedName>
    <definedName name="Office_C_E_GE_1_SGEGas_kWh">'Adjustment coeffients'!$C$220</definedName>
    <definedName name="Office_C_E_GE_1_SGEGas_MJ">'Adjustment coeffients'!$C$221</definedName>
    <definedName name="Office_C_E_GE_2_SGEElec">'Adjustment coeffients'!$C$222</definedName>
    <definedName name="Office_C_E_GE_3_HDD">'Adjustment coeffients'!$C$223</definedName>
    <definedName name="Office_C_E_GE_4_CDD">'Adjustment coeffients'!$C$224</definedName>
    <definedName name="Office_C_E_GE_5_CDD_Ave">'Adjustment coeffients'!$C$226</definedName>
    <definedName name="Office_C_E_GE_5_Coefficient">'Adjustment coeffients'!$C$225</definedName>
    <definedName name="Office_C_E_GE_5_SGEelec">'Adjustment coeffients'!$C$227</definedName>
    <definedName name="Office_C_FWD_Star_Band_Residual_Adjustment">'Adjustment coeffients'!$C$259</definedName>
    <definedName name="Office_C_Reverse_Star_Band_Residual_Adjustment">'Adjustment coeffients'!$C$258</definedName>
    <definedName name="Office_C_W_A_beyond_5_stars">'Adjustment coeffients'!$C$255</definedName>
    <definedName name="Office_C_W_Alpha_Star_Hrs_Coefficient">'Adjustment coeffients'!$C$244</definedName>
    <definedName name="Office_C_W_Alpha_Star_Intercept">'Adjustment coeffients'!$C$245</definedName>
    <definedName name="Office_C_W_High_CDD_coefficient">'Adjustment coeffients'!$C$234</definedName>
    <definedName name="Office_C_W_High_CDD_Intercept">'Adjustment coeffients'!$C$235</definedName>
    <definedName name="Office_C_W_Hrs_Offset">'Adjustment coeffients'!$C$247</definedName>
    <definedName name="Office_C_W_Low_CDD_Coefficient">'Adjustment coeffients'!$C$232</definedName>
    <definedName name="Office_C_W_Low_CDD_Intercept">'Adjustment coeffients'!$C$233</definedName>
    <definedName name="Office_C_W_M_star_Hrs_Coefficient">'Adjustment coeffients'!$C$242</definedName>
    <definedName name="Office_C_W_M_star_Intercept">'Adjustment coeffients'!$C$241</definedName>
    <definedName name="Office_C_W_Median_Rating">'Adjustment coeffients'!$C$238</definedName>
    <definedName name="Office_C_W_R_at_5_stars">'Adjustment coeffients'!$C$250</definedName>
    <definedName name="Office_C_W_R_star_rating_offset">'Adjustment coeffients'!$C$252</definedName>
    <definedName name="Office_C_W_R_star_rating_offset_at_5_stars">'Adjustment coeffients'!$C$253</definedName>
    <definedName name="Office_C_W2_Hrs_Ratio">'Adjustment coeffients'!$C$248</definedName>
    <definedName name="Office_Computers">Office!$I$28</definedName>
    <definedName name="Office_Diesel_FWD">Office!$G$69</definedName>
    <definedName name="Office_Diesel_Percent">Office!$I$32</definedName>
    <definedName name="Office_Elec_FWD">Office!$G$67</definedName>
    <definedName name="Office_Elec_Percent">Office!$I$30</definedName>
    <definedName name="Office_Gas_FWD">Office!$G$68</definedName>
    <definedName name="Office_Gas_Percent">Office!$I$31</definedName>
    <definedName name="Office_GreenPower_Percent_FWD">Office!$G$70</definedName>
    <definedName name="Office_Hrs">Office!$I$27</definedName>
    <definedName name="Office_NLA">Office!$I$26</definedName>
    <definedName name="Office_Postcode">Office!$I$25</definedName>
    <definedName name="Office_Rating_Type">Office!$E$12</definedName>
    <definedName name="Office_RW_Percent_FWD">Office!$G$80</definedName>
    <definedName name="Office_Target_Energy">Office!$E$16</definedName>
    <definedName name="Office_Target_Water">Office!$E$18</definedName>
    <definedName name="Office_Water_FWD">Office!$G$79</definedName>
    <definedName name="_xlnm.Print_Area" localSheetId="3">Apartment!$A$53:$F$62</definedName>
    <definedName name="_xlnm.Print_Area" localSheetId="5">'Data Centre'!$A$48:$F$49</definedName>
    <definedName name="_xlnm.Print_Area" localSheetId="15">Hospital!$A$42:$F$51</definedName>
    <definedName name="_xlnm.Print_Area" localSheetId="7">Hotel!$A$41:$F$50</definedName>
    <definedName name="_xlnm.Print_Area" localSheetId="1">Office!$A$52:$F$54</definedName>
    <definedName name="_xlnm.Print_Area" localSheetId="17">'RACRL Front End'!$A$62:$F$64</definedName>
    <definedName name="_xlnm.Print_Area" localSheetId="0">'Read Me'!$A$1:$H$24</definedName>
    <definedName name="_xlnm.Print_Area" localSheetId="10">'Schools Reverse Calculator'!$A$4:$I$74</definedName>
    <definedName name="_xlnm.Print_Area" localSheetId="9">'Shopping Centre'!$A$47:$F$56</definedName>
    <definedName name="_xlnm.Print_Area" localSheetId="19">'WACS Front End'!$A$51:$F$54</definedName>
    <definedName name="RACRL_C_E_Badj_SGEelec">'Adjustment coeffients'!$C$281</definedName>
    <definedName name="RACRL_C_E_Badj_SGEgas">'Adjustment coeffients'!$C$282</definedName>
    <definedName name="RACRL_C_E_Heated_Pool">'Adjustment coeffients'!$C$266</definedName>
    <definedName name="RACRL_C_E_Heated_Pool_Area_Adjustment">'Adjustment coeffients'!$C$267</definedName>
    <definedName name="RACRL_C_E_Heavy_Laundry">'Adjustment coeffients'!$C$265</definedName>
    <definedName name="RACRL_C_E_RAC_HDD">'Adjustment coeffients'!$C$264</definedName>
    <definedName name="RACRL_C_E_RAC_Intercept">'Adjustment coeffients'!$C$263</definedName>
    <definedName name="RACRL_C_E_RL_Dwellings">'Adjustment coeffients'!$C$273</definedName>
    <definedName name="RACRL_C_E_RL_HDD">'Adjustment coeffients'!$C$276</definedName>
    <definedName name="RACRL_C_E_RL_HDD_Intercept">'Adjustment coeffients'!$C$277</definedName>
    <definedName name="RACRL_C_E_RL_Heated_Pool">'Adjustment coeffients'!$C$272</definedName>
    <definedName name="RACRL_C_E_RL_Serviced_Apartments">'Adjustment coeffients'!$C$279</definedName>
    <definedName name="RACRL_C_E_RL_Site_Area">'Adjustment coeffients'!$C$274</definedName>
    <definedName name="RACRL_C_E_RL_Site_Area_Intercept">'Adjustment coeffients'!$C$275</definedName>
    <definedName name="RACRL_C_E_RL_Unheated_Pool">'Adjustment coeffients'!$C$278</definedName>
    <definedName name="RACRL_C_E_Total_Meals">'Adjustment coeffients'!$C$268</definedName>
    <definedName name="RACRL_C_W_CL_Dwellings">'Adjustment coeffients'!$C$297</definedName>
    <definedName name="RACRL_C_W_CL_Site_Area_IRR">'Adjustment coeffients'!$C$298</definedName>
    <definedName name="RACRL_C_W_Heated_Pool">'Adjustment coeffients'!$C$295</definedName>
    <definedName name="RACRL_C_W_Heated_Pool_Area_Offset">'Adjustment coeffients'!$C$296</definedName>
    <definedName name="RACRL_C_W_Meals">'Adjustment coeffients'!$C$289</definedName>
    <definedName name="RACRL_C_W_RAC_CDD">'Adjustment coeffients'!$C$287</definedName>
    <definedName name="RACRL_C_W_RAC_Heavy_Laundry">'Adjustment coeffients'!$C$288</definedName>
    <definedName name="RACRL_C_W_RAC_Intercept">'Adjustment coeffients'!$C$286</definedName>
    <definedName name="RACRL_C_W_RL_Dwellings">'Adjustment coeffients'!$C$291</definedName>
    <definedName name="RACRL_C_W_RL_Site_Area_IRR">'Adjustment coeffients'!$C$292</definedName>
    <definedName name="RACRL_Diesel_FWD">'RACRL Front End'!$G$81</definedName>
    <definedName name="RACRL_Diesel_Percent">'RACRL Front End'!$I$42</definedName>
    <definedName name="RACRL_Dwellings">'RACRL Front End'!$I$29</definedName>
    <definedName name="RACRL_Elec_FWD">'RACRL Front End'!$G$79</definedName>
    <definedName name="RACRL_Elec_Percent">'RACRL Front End'!$I$39</definedName>
    <definedName name="RACRL_Gas_FWD">'RACRL Front End'!$G$80</definedName>
    <definedName name="RACRL_Gas_Percent">'RACRL Front End'!$I$40</definedName>
    <definedName name="RACRL_GreenPower_Percent_FWD">'RACRL Front End'!$G$83</definedName>
    <definedName name="RACRL_Heated_Pool">'RACRL Front End'!$I$31</definedName>
    <definedName name="RACRL_Heated_Pool_Area">'RACRL Front End'!$I$32</definedName>
    <definedName name="RACRL_Heavy_Laundry">'RACRL Front End'!$I$35</definedName>
    <definedName name="RACRL_LPG_FWD">'RACRL Front End'!$G$82</definedName>
    <definedName name="RACRL_LPG_Percent">'RACRL Front End'!$I$41</definedName>
    <definedName name="RACRL_OBD">'RACRL Front End'!$I$28</definedName>
    <definedName name="RACRL_Postcode">'RACRL Front End'!$I$26</definedName>
    <definedName name="RACRL_Rating_Type">'RACRL Front End'!$E$12</definedName>
    <definedName name="RACRL_RW_Percent_FWD">'RACRL Front End'!$G$93</definedName>
    <definedName name="RACRL_Serviced_Apartments">'RACRL Front End'!$I$30</definedName>
    <definedName name="RACRL_Site_Area">'RACRL Front End'!$I$27</definedName>
    <definedName name="RACRL_Target_Energy">'RACRL Front End'!$E$17</definedName>
    <definedName name="RACRL_Target_Water">'RACRL Front End'!$E$19</definedName>
    <definedName name="RACRL_Unheated_Pool">'RACRL Front End'!$I$33</definedName>
    <definedName name="RACRL_Unheated_Pool_Area">'RACRL Front End'!$I$34</definedName>
    <definedName name="RACRL_Water_FWD">'RACRL Front End'!$G$92</definedName>
    <definedName name="RACRL_Weekly_Meals_Non_Residents">'RACRL Front End'!$I$37</definedName>
    <definedName name="RACRL_Weekly_Meals_Residents">'RACRL Front End'!$I$36</definedName>
    <definedName name="School_Diesel_FWD">'Schools Reverse Calculator'!$G$81</definedName>
    <definedName name="School_Diesel_Percent">'Schools Reverse Calculator'!$I$41</definedName>
    <definedName name="School_Elec_FWD">'Schools Reverse Calculator'!$G$79</definedName>
    <definedName name="School_Elec_Percent">'Schools Reverse Calculator'!$I$38</definedName>
    <definedName name="School_FTE_ELC">'Schools Reverse Calculator'!$I$31</definedName>
    <definedName name="School_FTE_Primary">'Schools Reverse Calculator'!$I$32</definedName>
    <definedName name="School_FTE_Secondary">'Schools Reverse Calculator'!$I$33</definedName>
    <definedName name="School_FTE_Specical_Needs">'Schools Reverse Calculator'!$I$34</definedName>
    <definedName name="School_FTE_Staff">'Schools Reverse Calculator'!$I$30</definedName>
    <definedName name="School_Gas_FWD">'Schools Reverse Calculator'!$G$80</definedName>
    <definedName name="School_Gas_Percent">'Schools Reverse Calculator'!$I$39</definedName>
    <definedName name="School_GFA">'Schools Reverse Calculator'!$I$29</definedName>
    <definedName name="School_GreenPower_Percent_FWD">'Schools Reverse Calculator'!$G$83</definedName>
    <definedName name="School_LPG_FWD">'Schools Reverse Calculator'!$G$82</definedName>
    <definedName name="School_LPG_Percent">'Schools Reverse Calculator'!$I$40</definedName>
    <definedName name="School_Pool">'Schools Reverse Calculator'!$I$35</definedName>
    <definedName name="School_Pool_Size">'Schools Reverse Calculator'!$I$36</definedName>
    <definedName name="School_Postcode">'Schools Reverse Calculator'!$I$25</definedName>
    <definedName name="School_Remote_Area">'Schools Reverse Calculator'!$I$27</definedName>
    <definedName name="School_RW_Percent_FWD">'Schools Reverse Calculator'!$G$93</definedName>
    <definedName name="School_Sector">'Schools Reverse Calculator'!$I$26</definedName>
    <definedName name="School_Site_Area">'Schools Reverse Calculator'!$I$28</definedName>
    <definedName name="School_Target_Energy">'Schools Reverse Calculator'!$E$14</definedName>
    <definedName name="School_Target_Water">'Schools Reverse Calculator'!$E$17</definedName>
    <definedName name="School_Water_FWD">'Schools Reverse Calculator'!$G$92</definedName>
    <definedName name="Shopping_Centre_C_E_Large_Gas">'Adjustment coeffients'!$C$309</definedName>
    <definedName name="Shopping_Centre_C_E_Large_General_CDD">'Adjustment coeffients'!$C$312</definedName>
    <definedName name="Shopping_Centre_C_E_Large_General_CP_Mech">'Adjustment coeffients'!$C$316</definedName>
    <definedName name="Shopping_Centre_C_E_Large_General_CP_Nat">'Adjustment coeffients'!$C$317</definedName>
    <definedName name="Shopping_Centre_C_E_Large_General_Floors">'Adjustment coeffients'!$C$311</definedName>
    <definedName name="Shopping_Centre_C_E_Large_General_Hrs_Ave">'Adjustment coeffients'!$C$313</definedName>
    <definedName name="Shopping_Centre_C_E_Large_General_Intercept">'Adjustment coeffients'!$C$310</definedName>
    <definedName name="Shopping_Centre_C_E_Large_General_TD">'Adjustment coeffients'!$C$314</definedName>
    <definedName name="Shopping_Centre_C_E_Large_General_TD_Ave">'Adjustment coeffients'!$C$315</definedName>
    <definedName name="Shopping_Centre_C_E_Small_CP_Mech">'Adjustment coeffients'!$C$327</definedName>
    <definedName name="Shopping_Centre_C_E_Small_CP_Natural">'Adjustment coeffients'!$C$328</definedName>
    <definedName name="Shopping_Centre_C_E_Small_FCS">'Adjustment coeffients'!$C$329</definedName>
    <definedName name="Shopping_Centre_C_E_Small_Floors">'Adjustment coeffients'!$C$325</definedName>
    <definedName name="Shopping_Centre_C_E_Small_GLAR_Serviced">'Adjustment coeffients'!$C$326</definedName>
    <definedName name="Shopping_Centre_C_E_Small_GLAR_Serviced_Gym">'Adjustment coeffients'!$C$330</definedName>
    <definedName name="Shopping_Centre_C_E_Small_Hrs">'Adjustment coeffients'!$C$321</definedName>
    <definedName name="Shopping_Centre_C_E_Small_Hrs_Ave">'Adjustment coeffients'!$C$322</definedName>
    <definedName name="Shopping_Centre_C_E_Small_Intercept">'Adjustment coeffients'!$C$320</definedName>
    <definedName name="Shopping_Centre_C_E_Small_TD">'Adjustment coeffients'!$C$323</definedName>
    <definedName name="Shopping_Centre_C_E_Small_TD_Ave">'Adjustment coeffients'!$C$324</definedName>
    <definedName name="Shopping_Centre_C_W_Large_CDD">'Adjustment coeffients'!$C$335</definedName>
    <definedName name="Shopping_Centre_C_W_Large_FCS">'Adjustment coeffients'!$C$337</definedName>
    <definedName name="Shopping_Centre_C_W_Large_GLARgym">'Adjustment coeffients'!$C$336</definedName>
    <definedName name="Shopping_Centre_C_W_Large_Intercept">'Adjustment coeffients'!$C$334</definedName>
    <definedName name="Shopping_Centre_C_W_Shared_Theatrettes">'Adjustment coeffients'!$C$338</definedName>
    <definedName name="Shopping_Centre_C_W_Small_CDD">'Adjustment coeffients'!$C$344</definedName>
    <definedName name="Shopping_Centre_C_W_Small_FCS">'Adjustment coeffients'!$C$347</definedName>
    <definedName name="Shopping_Centre_C_W_Small_GLAR">'Adjustment coeffients'!$C$345</definedName>
    <definedName name="Shopping_Centre_C_W_Small_GLAR_gym">'Adjustment coeffients'!$C$346</definedName>
    <definedName name="Shopping_Centre_C_W_Small_Hrs">'Adjustment coeffients'!$C$343</definedName>
    <definedName name="Shopping_Centre_C_W_Small_Intercept">'Adjustment coeffients'!$C$341</definedName>
    <definedName name="Shopping_Centre_C_W_Small_TD">'Adjustment coeffients'!$C$342</definedName>
    <definedName name="Shopping_Centre_CP_Mech">'Shopping Centre'!$I$27</definedName>
    <definedName name="Shopping_Centre_CP_Natural">'Shopping Centre'!$I$28</definedName>
    <definedName name="Shopping_Centre_Diesel_FWD">'Shopping Centre'!$G$75</definedName>
    <definedName name="Shopping_Centre_Diesel_Percent">'Shopping Centre'!$I$36</definedName>
    <definedName name="Shopping_Centre_Elec_FWD">'Shopping Centre'!$G$73</definedName>
    <definedName name="Shopping_Centre_Elec_Percent">'Shopping Centre'!$I$34</definedName>
    <definedName name="Shopping_Centre_FCS">'Shopping Centre'!$I$29</definedName>
    <definedName name="Shopping_Centre_Floors">'Shopping Centre'!$I$22</definedName>
    <definedName name="Shopping_Centre_Gas_FWD">'Shopping Centre'!$G$74</definedName>
    <definedName name="Shopping_Centre_Gas_Percent">'Shopping Centre'!$I$35</definedName>
    <definedName name="Shopping_Centre_GLAR">'Shopping Centre'!$I$23</definedName>
    <definedName name="Shopping_Centre_GLAR_Gym">'Shopping Centre'!$I$31</definedName>
    <definedName name="Shopping_Centre_GLAR_Serviced">'Shopping Centre'!$I$24</definedName>
    <definedName name="Shopping_Centre_GLAR_Serviced_Gym">'Shopping Centre'!$I$32</definedName>
    <definedName name="Shopping_Centre_GreenPower_Percent_FWD">'Shopping Centre'!$G$76</definedName>
    <definedName name="Shopping_Centre_HS">'Shopping Centre'!$I$26</definedName>
    <definedName name="Shopping_Centre_Postcode">'Shopping Centre'!$I$21</definedName>
    <definedName name="Shopping_Centre_RW_Percent_FWD">'Shopping Centre'!$G$86</definedName>
    <definedName name="Shopping_Centre_Target_Energy">'Shopping Centre'!$E$12</definedName>
    <definedName name="Shopping_Centre_Target_Water">'Shopping Centre'!$E$14</definedName>
    <definedName name="Shopping_Centre_TD">'Shopping Centre'!$I$25</definedName>
    <definedName name="Shopping_Centre_Theatrettes">'Shopping Centre'!$I$30</definedName>
    <definedName name="Shopping_Centre_Water_FWD">'Shopping Centre'!$G$85</definedName>
    <definedName name="tbl_Climate_zone_table">'Climate References'!$I$3:$M$73</definedName>
    <definedName name="Warehouse_ATR">'WACS Front End'!$I$28</definedName>
    <definedName name="Warehouse_C_Adjustment_Elec">'Adjustment coeffients'!$C$373</definedName>
    <definedName name="Warehouse_C_Adjustment_Gas">'Adjustment coeffients'!$C$374</definedName>
    <definedName name="Warehouse_C_C1_Hours_Coefficient">'Adjustment coeffients'!$C$358</definedName>
    <definedName name="Warehouse_C_C1_Hours_Intercept">'Adjustment coeffients'!$C$357</definedName>
    <definedName name="Warehouse_C_C2_Non_Refrigerated_FTE_Coefficient">'Adjustment coeffients'!$C$360</definedName>
    <definedName name="Warehouse_C_C2_Non_Refrigerated_FTE_Intercept">'Adjustment coeffients'!$C$359</definedName>
    <definedName name="Warehouse_C_C2_Refrigerated_FTE_Coefficient">'Adjustment coeffients'!$C$368</definedName>
    <definedName name="Warehouse_C_C2_Refrigerated_FTE_Intercept">'Adjustment coeffients'!$C$367</definedName>
    <definedName name="Warehouse_C_K2_K3_Non_Refrigerated_ATR_Coefficient">'Adjustment coeffients'!$C$362</definedName>
    <definedName name="Warehouse_C_K2_K3_Non_Refrigerated_ATR_Intercept">'Adjustment coeffients'!$C$361</definedName>
    <definedName name="Warehouse_Cold_Store">'WACS Front End'!$I$20</definedName>
    <definedName name="Warehouse_Cold_Volume">'WACS Front End'!$I$25</definedName>
    <definedName name="Warehouse_Conditioned_GLA">'WACS Front End'!$I$22</definedName>
    <definedName name="Warehouse_Cool_Volume">'WACS Front End'!$I$24</definedName>
    <definedName name="Warehouse_Diesel_FWD">'WACS Front End'!$I$61</definedName>
    <definedName name="Warehouse_Diesel_Percent">'WACS Front End'!$I$33</definedName>
    <definedName name="Warehouse_Elec_FWD">'WACS Front End'!$I$58</definedName>
    <definedName name="Warehouse_Elec_Percent">'WACS Front End'!$I$30</definedName>
    <definedName name="Warehouse_FTE">'WACS Front End'!$I$27</definedName>
    <definedName name="Warehouse_Gas_FWD">'WACS Front End'!$I$59</definedName>
    <definedName name="Warehouse_Gas_Percent">'WACS Front End'!$I$31</definedName>
    <definedName name="Warehouse_GreenPower_Percent_FWD">'WACS Front End'!#REF!</definedName>
    <definedName name="Warehouse_Hours">'WACS Front End'!$I$26</definedName>
    <definedName name="Warehouse_LPG_FWD">'WACS Front End'!$I$60</definedName>
    <definedName name="Warehouse_LPG_Percent">'WACS Front End'!$I$32</definedName>
    <definedName name="Warehouse_Non_Conditioned_GLA">'WACS Front End'!$I$23</definedName>
    <definedName name="Warehouse_Operational_Data">'WACS Front End'!$I$19</definedName>
    <definedName name="Warehouse_Postcode">'WACS Front End'!$I$18</definedName>
    <definedName name="Warehouse_Target_Energy">'WACS Front End'!$E$12</definedName>
    <definedName name="Warehouse_Total_GLA">'WACS Front End'!$I$21</definedName>
    <definedName name="Warehouses_C_Cold_Volume">'Adjustment coeffients'!$C$365</definedName>
    <definedName name="Warehouses_C_Conditioned_Area">'Adjustment coeffients'!$C$355</definedName>
    <definedName name="Warehouses_C_Cool_Volume">'Adjustment coeffients'!$C$366</definedName>
    <definedName name="Warehouses_C_Non_Conditioned_Area">'Adjustment coeffients'!$C$356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99" l="1"/>
  <c r="C5" i="99"/>
  <c r="C5" i="78"/>
  <c r="F5" i="78"/>
  <c r="AH5" i="100" l="1"/>
  <c r="AI5" i="100"/>
  <c r="AJ5" i="100"/>
  <c r="AK5" i="100"/>
  <c r="AL5" i="100"/>
  <c r="AM5" i="100"/>
  <c r="AN5" i="100"/>
  <c r="AO5" i="100"/>
  <c r="AP5" i="100"/>
  <c r="AQ5" i="100"/>
  <c r="AR5" i="100"/>
  <c r="BX5" i="100" s="1"/>
  <c r="AS5" i="100"/>
  <c r="AT5" i="100"/>
  <c r="AU5" i="100"/>
  <c r="AV5" i="100"/>
  <c r="AW5" i="100"/>
  <c r="BE5" i="100" s="1"/>
  <c r="BF5" i="100" s="1"/>
  <c r="AX5" i="100"/>
  <c r="AY5" i="100"/>
  <c r="AZ5" i="100"/>
  <c r="BA5" i="100"/>
  <c r="BB5" i="100"/>
  <c r="BC5" i="100"/>
  <c r="BD5" i="100"/>
  <c r="BG5" i="100"/>
  <c r="BH5" i="100"/>
  <c r="BI5" i="100"/>
  <c r="BJ5" i="100"/>
  <c r="BK5" i="100"/>
  <c r="BL5" i="100"/>
  <c r="BM5" i="100"/>
  <c r="BN5" i="100"/>
  <c r="BO5" i="100"/>
  <c r="BP5" i="100" s="1"/>
  <c r="BY5" i="100"/>
  <c r="BZ5" i="100"/>
  <c r="CA5" i="100"/>
  <c r="CB5" i="100"/>
  <c r="CC5" i="100"/>
  <c r="CF5" i="100"/>
  <c r="CG5" i="100"/>
  <c r="CH5" i="100"/>
  <c r="CI5" i="100"/>
  <c r="CK5" i="100"/>
  <c r="S5" i="100" s="1"/>
  <c r="CW5" i="100"/>
  <c r="AD5" i="100" s="1"/>
  <c r="CZ5" i="100"/>
  <c r="DA5" i="100"/>
  <c r="DB5" i="100"/>
  <c r="DC5" i="100"/>
  <c r="DD5" i="100"/>
  <c r="DE5" i="100"/>
  <c r="DF5" i="100"/>
  <c r="DG5" i="100"/>
  <c r="DH5" i="100"/>
  <c r="DI5" i="100"/>
  <c r="DJ5" i="100"/>
  <c r="DK5" i="100"/>
  <c r="HB5" i="100"/>
  <c r="HC5" i="100"/>
  <c r="AH6" i="100"/>
  <c r="AI6" i="100"/>
  <c r="AJ6" i="100"/>
  <c r="AK6" i="100"/>
  <c r="AL6" i="100"/>
  <c r="AM6" i="100"/>
  <c r="AN6" i="100"/>
  <c r="HB6" i="100" s="1"/>
  <c r="AO6" i="100"/>
  <c r="AU6" i="100" s="1"/>
  <c r="AP6" i="100"/>
  <c r="AQ6" i="100"/>
  <c r="AR6" i="100"/>
  <c r="AS6" i="100"/>
  <c r="CF6" i="100" s="1"/>
  <c r="AW6" i="100"/>
  <c r="BA6" i="100"/>
  <c r="BB6" i="100"/>
  <c r="BC6" i="100"/>
  <c r="BI6" i="100"/>
  <c r="BM6" i="100"/>
  <c r="BO6" i="100"/>
  <c r="BQ6" i="100" s="1"/>
  <c r="BX6" i="100"/>
  <c r="BY6" i="100"/>
  <c r="BZ6" i="100"/>
  <c r="CA6" i="100"/>
  <c r="CC6" i="100"/>
  <c r="CG6" i="100"/>
  <c r="CH6" i="100"/>
  <c r="CI6" i="100"/>
  <c r="CK6" i="100"/>
  <c r="S6" i="100" s="1"/>
  <c r="CW6" i="100"/>
  <c r="AD6" i="100" s="1"/>
  <c r="CZ6" i="100"/>
  <c r="DA6" i="100"/>
  <c r="DB6" i="100"/>
  <c r="DC6" i="100"/>
  <c r="DD6" i="100"/>
  <c r="DE6" i="100"/>
  <c r="DF6" i="100"/>
  <c r="DG6" i="100"/>
  <c r="DH6" i="100"/>
  <c r="DI6" i="100"/>
  <c r="DJ6" i="100"/>
  <c r="DK6" i="100"/>
  <c r="HC6" i="100"/>
  <c r="C71" i="99"/>
  <c r="CZ4" i="100"/>
  <c r="C47" i="99"/>
  <c r="DA4" i="100"/>
  <c r="DB4" i="100"/>
  <c r="DC4" i="100"/>
  <c r="DD4" i="100"/>
  <c r="DE4" i="100"/>
  <c r="DF4" i="100"/>
  <c r="DG4" i="100"/>
  <c r="DH4" i="100"/>
  <c r="DI4" i="100"/>
  <c r="DJ4" i="100"/>
  <c r="DK4" i="100"/>
  <c r="CH4" i="98"/>
  <c r="CI4" i="98"/>
  <c r="CJ4" i="98"/>
  <c r="CK4" i="98"/>
  <c r="CL4" i="98"/>
  <c r="CM4" i="98"/>
  <c r="CN4" i="98"/>
  <c r="CO4" i="98"/>
  <c r="CP4" i="98"/>
  <c r="CQ4" i="98"/>
  <c r="CR4" i="98"/>
  <c r="CS4" i="98"/>
  <c r="CH5" i="98"/>
  <c r="CI5" i="98"/>
  <c r="CJ5" i="98"/>
  <c r="CK5" i="98"/>
  <c r="CL5" i="98"/>
  <c r="CM5" i="98"/>
  <c r="CN5" i="98"/>
  <c r="CO5" i="98"/>
  <c r="CP5" i="98"/>
  <c r="CQ5" i="98"/>
  <c r="CR5" i="98"/>
  <c r="CS5" i="98"/>
  <c r="CH6" i="98"/>
  <c r="CI6" i="98"/>
  <c r="CJ6" i="98"/>
  <c r="CK6" i="98"/>
  <c r="CL6" i="98"/>
  <c r="CM6" i="98"/>
  <c r="CN6" i="98"/>
  <c r="CO6" i="98"/>
  <c r="CP6" i="98"/>
  <c r="CQ6" i="98"/>
  <c r="CR6" i="98"/>
  <c r="CS6" i="98"/>
  <c r="R4" i="100"/>
  <c r="Q4" i="100"/>
  <c r="P4" i="100"/>
  <c r="O4" i="100"/>
  <c r="GT5" i="100" l="1"/>
  <c r="BS5" i="100"/>
  <c r="BU5" i="100"/>
  <c r="BQ5" i="100"/>
  <c r="GR5" i="100"/>
  <c r="BT5" i="100"/>
  <c r="BR5" i="100"/>
  <c r="BS6" i="100"/>
  <c r="BU6" i="100"/>
  <c r="BE6" i="100"/>
  <c r="CB6" i="100"/>
  <c r="BP6" i="100"/>
  <c r="BR6" i="100"/>
  <c r="BT6" i="100"/>
  <c r="BK6" i="100"/>
  <c r="BG6" i="100"/>
  <c r="AY6" i="100"/>
  <c r="GS5" i="100"/>
  <c r="GU5" i="100"/>
  <c r="AT6" i="100"/>
  <c r="AV6" i="100"/>
  <c r="AX6" i="100"/>
  <c r="AZ6" i="100"/>
  <c r="BH6" i="100"/>
  <c r="BJ6" i="100"/>
  <c r="BL6" i="100"/>
  <c r="BN6" i="100"/>
  <c r="BC4" i="100"/>
  <c r="BB4" i="100"/>
  <c r="BA4" i="100"/>
  <c r="H206" i="14"/>
  <c r="H207" i="14"/>
  <c r="H208" i="14"/>
  <c r="H209" i="14"/>
  <c r="H210" i="14"/>
  <c r="H211" i="14"/>
  <c r="H212" i="14"/>
  <c r="H213" i="14"/>
  <c r="G206" i="14"/>
  <c r="G207" i="14"/>
  <c r="G208" i="14"/>
  <c r="G209" i="14"/>
  <c r="G210" i="14"/>
  <c r="G211" i="14"/>
  <c r="G212" i="14"/>
  <c r="G213" i="14"/>
  <c r="AN4" i="100"/>
  <c r="AM4" i="100"/>
  <c r="AI4" i="100"/>
  <c r="AL4" i="100"/>
  <c r="AK4" i="100"/>
  <c r="AJ4" i="100"/>
  <c r="AH4" i="100"/>
  <c r="N4" i="100"/>
  <c r="CH4" i="100" s="1"/>
  <c r="M4" i="100"/>
  <c r="BZ4" i="100" s="1"/>
  <c r="L4" i="100"/>
  <c r="K4" i="100"/>
  <c r="J4" i="100"/>
  <c r="I4" i="100"/>
  <c r="H4" i="100"/>
  <c r="G4" i="100"/>
  <c r="F4" i="100"/>
  <c r="E4" i="100"/>
  <c r="D4" i="100"/>
  <c r="CI4" i="100" s="1"/>
  <c r="C4" i="100"/>
  <c r="AQ4" i="100" s="1"/>
  <c r="B4" i="100"/>
  <c r="CW4" i="100" s="1"/>
  <c r="AD4" i="100" s="1"/>
  <c r="A4" i="100"/>
  <c r="CK4" i="100" s="1"/>
  <c r="S4" i="100" s="1"/>
  <c r="BW5" i="100" l="1"/>
  <c r="CD5" i="100" s="1"/>
  <c r="CJ5" i="100" s="1"/>
  <c r="GW5" i="100" s="1"/>
  <c r="GY5" i="100" s="1"/>
  <c r="HA5" i="100" s="1"/>
  <c r="BV5" i="100"/>
  <c r="CE5" i="100" s="1"/>
  <c r="CV5" i="100" s="1"/>
  <c r="GR6" i="100"/>
  <c r="BD6" i="100"/>
  <c r="BF6" i="100" s="1"/>
  <c r="GU6" i="100"/>
  <c r="GT6" i="100"/>
  <c r="GS6" i="100"/>
  <c r="BV6" i="100"/>
  <c r="CE6" i="100" s="1"/>
  <c r="CV6" i="100" s="1"/>
  <c r="BW6" i="100"/>
  <c r="CD6" i="100" s="1"/>
  <c r="CJ6" i="100" s="1"/>
  <c r="HB4" i="100"/>
  <c r="HC4" i="100"/>
  <c r="BY4" i="100"/>
  <c r="CG4" i="100"/>
  <c r="CA4" i="100"/>
  <c r="BO4" i="100"/>
  <c r="BS4" i="100" s="1"/>
  <c r="AR4" i="100"/>
  <c r="BX4" i="100" s="1"/>
  <c r="AS4" i="100"/>
  <c r="CF4" i="100" s="1"/>
  <c r="AP4" i="100"/>
  <c r="AO4" i="100"/>
  <c r="CC4" i="100" s="1"/>
  <c r="DR5" i="100" l="1"/>
  <c r="ED5" i="100" s="1"/>
  <c r="FN5" i="100" s="1"/>
  <c r="DM5" i="100"/>
  <c r="DY5" i="100" s="1"/>
  <c r="FI5" i="100" s="1"/>
  <c r="DP5" i="100"/>
  <c r="EB5" i="100" s="1"/>
  <c r="EZ5" i="100" s="1"/>
  <c r="DU5" i="100"/>
  <c r="EG5" i="100" s="1"/>
  <c r="FQ5" i="100" s="1"/>
  <c r="CL5" i="100"/>
  <c r="V5" i="100" s="1"/>
  <c r="T5" i="100"/>
  <c r="DQ5" i="100"/>
  <c r="EC5" i="100" s="1"/>
  <c r="FY5" i="100" s="1"/>
  <c r="GV5" i="100"/>
  <c r="GX5" i="100" s="1"/>
  <c r="GZ5" i="100" s="1"/>
  <c r="DT5" i="100"/>
  <c r="EF5" i="100" s="1"/>
  <c r="ER5" i="100" s="1"/>
  <c r="DL5" i="100"/>
  <c r="DX5" i="100" s="1"/>
  <c r="EV5" i="100" s="1"/>
  <c r="DV5" i="100"/>
  <c r="EH5" i="100" s="1"/>
  <c r="GD5" i="100" s="1"/>
  <c r="DN5" i="100"/>
  <c r="DZ5" i="100" s="1"/>
  <c r="EX5" i="100" s="1"/>
  <c r="DW5" i="100"/>
  <c r="EI5" i="100" s="1"/>
  <c r="FG5" i="100" s="1"/>
  <c r="DS5" i="100"/>
  <c r="EE5" i="100" s="1"/>
  <c r="FC5" i="100" s="1"/>
  <c r="DO5" i="100"/>
  <c r="EA5" i="100" s="1"/>
  <c r="EY5" i="100" s="1"/>
  <c r="CM5" i="100"/>
  <c r="CN5" i="100" s="1"/>
  <c r="GG5" i="100"/>
  <c r="GK5" i="100"/>
  <c r="GO5" i="100"/>
  <c r="HE5" i="100"/>
  <c r="HG5" i="100" s="1"/>
  <c r="HI5" i="100" s="1"/>
  <c r="GH5" i="100"/>
  <c r="GP5" i="100"/>
  <c r="GF5" i="100"/>
  <c r="GN5" i="100"/>
  <c r="AE5" i="100"/>
  <c r="GI5" i="100"/>
  <c r="GM5" i="100"/>
  <c r="GQ5" i="100"/>
  <c r="CX5" i="100"/>
  <c r="GL5" i="100"/>
  <c r="HD5" i="100"/>
  <c r="HF5" i="100" s="1"/>
  <c r="HH5" i="100" s="1"/>
  <c r="GJ5" i="100"/>
  <c r="T6" i="100"/>
  <c r="CL6" i="100"/>
  <c r="V6" i="100" s="1"/>
  <c r="DL6" i="100"/>
  <c r="DX6" i="100" s="1"/>
  <c r="DN6" i="100"/>
  <c r="DZ6" i="100" s="1"/>
  <c r="DP6" i="100"/>
  <c r="EB6" i="100" s="1"/>
  <c r="DR6" i="100"/>
  <c r="ED6" i="100" s="1"/>
  <c r="DT6" i="100"/>
  <c r="EF6" i="100" s="1"/>
  <c r="DV6" i="100"/>
  <c r="EH6" i="100" s="1"/>
  <c r="CM6" i="100"/>
  <c r="DO6" i="100"/>
  <c r="EA6" i="100" s="1"/>
  <c r="DS6" i="100"/>
  <c r="EE6" i="100" s="1"/>
  <c r="DW6" i="100"/>
  <c r="EI6" i="100" s="1"/>
  <c r="DM6" i="100"/>
  <c r="DY6" i="100" s="1"/>
  <c r="DQ6" i="100"/>
  <c r="EC6" i="100" s="1"/>
  <c r="DU6" i="100"/>
  <c r="EG6" i="100" s="1"/>
  <c r="GW6" i="100"/>
  <c r="GY6" i="100" s="1"/>
  <c r="HA6" i="100" s="1"/>
  <c r="AE6" i="100"/>
  <c r="CX6" i="100"/>
  <c r="GG6" i="100"/>
  <c r="GI6" i="100"/>
  <c r="GK6" i="100"/>
  <c r="GM6" i="100"/>
  <c r="GO6" i="100"/>
  <c r="GQ6" i="100"/>
  <c r="HE6" i="100"/>
  <c r="HG6" i="100" s="1"/>
  <c r="HI6" i="100" s="1"/>
  <c r="GF6" i="100"/>
  <c r="GH6" i="100"/>
  <c r="GJ6" i="100"/>
  <c r="GL6" i="100"/>
  <c r="GN6" i="100"/>
  <c r="GP6" i="100"/>
  <c r="HD6" i="100"/>
  <c r="HF6" i="100" s="1"/>
  <c r="HH6" i="100" s="1"/>
  <c r="GV6" i="100"/>
  <c r="GX6" i="100" s="1"/>
  <c r="GZ6" i="100" s="1"/>
  <c r="BR4" i="100"/>
  <c r="CB4" i="100"/>
  <c r="BN4" i="100"/>
  <c r="BL4" i="100"/>
  <c r="BJ4" i="100"/>
  <c r="BH4" i="100"/>
  <c r="BM4" i="100"/>
  <c r="BK4" i="100"/>
  <c r="BI4" i="100"/>
  <c r="BG4" i="100"/>
  <c r="BP4" i="100"/>
  <c r="BQ4" i="100"/>
  <c r="BT4" i="100"/>
  <c r="BU4" i="100"/>
  <c r="AY4" i="100"/>
  <c r="AW4" i="100"/>
  <c r="BE4" i="100" s="1"/>
  <c r="AU4" i="100"/>
  <c r="AZ4" i="100"/>
  <c r="AX4" i="100"/>
  <c r="AV4" i="100"/>
  <c r="AT4" i="100"/>
  <c r="EK5" i="100" l="1"/>
  <c r="FJ5" i="100"/>
  <c r="EN5" i="100"/>
  <c r="ET5" i="100"/>
  <c r="FK5" i="100"/>
  <c r="EO5" i="100"/>
  <c r="FR5" i="100"/>
  <c r="FM5" i="100"/>
  <c r="EM5" i="100"/>
  <c r="FL5" i="100"/>
  <c r="EW5" i="100"/>
  <c r="EP5" i="100"/>
  <c r="FW5" i="100"/>
  <c r="EU5" i="100"/>
  <c r="FF5" i="100"/>
  <c r="FA5" i="100"/>
  <c r="FX5" i="100"/>
  <c r="GB5" i="100"/>
  <c r="FB5" i="100"/>
  <c r="FE5" i="100"/>
  <c r="EL5" i="100"/>
  <c r="ES5" i="100"/>
  <c r="GC5" i="100"/>
  <c r="U5" i="100"/>
  <c r="FU5" i="100"/>
  <c r="FZ5" i="100"/>
  <c r="EJ5" i="100"/>
  <c r="FS5" i="100"/>
  <c r="FD5" i="100"/>
  <c r="GE5" i="100"/>
  <c r="FP5" i="100"/>
  <c r="EQ5" i="100"/>
  <c r="FO5" i="100"/>
  <c r="FH5" i="100"/>
  <c r="GA5" i="100"/>
  <c r="FV5" i="100"/>
  <c r="FT5" i="100"/>
  <c r="AF5" i="100"/>
  <c r="CY5" i="100"/>
  <c r="AG5" i="100" s="1"/>
  <c r="AF6" i="100"/>
  <c r="CY6" i="100"/>
  <c r="AG6" i="100" s="1"/>
  <c r="FY6" i="100"/>
  <c r="EO6" i="100"/>
  <c r="FA6" i="100"/>
  <c r="FM6" i="100"/>
  <c r="EU6" i="100"/>
  <c r="FG6" i="100"/>
  <c r="FS6" i="100"/>
  <c r="GE6" i="100"/>
  <c r="EM6" i="100"/>
  <c r="EY6" i="100"/>
  <c r="FK6" i="100"/>
  <c r="FW6" i="100"/>
  <c r="ET6" i="100"/>
  <c r="FF6" i="100"/>
  <c r="FR6" i="100"/>
  <c r="GD6" i="100"/>
  <c r="EP6" i="100"/>
  <c r="FB6" i="100"/>
  <c r="FN6" i="100"/>
  <c r="FZ6" i="100"/>
  <c r="EL6" i="100"/>
  <c r="EX6" i="100"/>
  <c r="FJ6" i="100"/>
  <c r="FV6" i="100"/>
  <c r="CO5" i="100"/>
  <c r="W5" i="100" s="1"/>
  <c r="CQ5" i="100"/>
  <c r="AA5" i="100" s="1"/>
  <c r="CS5" i="100"/>
  <c r="AC5" i="100" s="1"/>
  <c r="CR5" i="100"/>
  <c r="AB5" i="100" s="1"/>
  <c r="CP5" i="100"/>
  <c r="GC6" i="100"/>
  <c r="ES6" i="100"/>
  <c r="FE6" i="100"/>
  <c r="FQ6" i="100"/>
  <c r="EK6" i="100"/>
  <c r="EW6" i="100"/>
  <c r="FI6" i="100"/>
  <c r="FU6" i="100"/>
  <c r="EQ6" i="100"/>
  <c r="FC6" i="100"/>
  <c r="FO6" i="100"/>
  <c r="GA6" i="100"/>
  <c r="U6" i="100"/>
  <c r="CN6" i="100"/>
  <c r="ER6" i="100"/>
  <c r="FD6" i="100"/>
  <c r="FP6" i="100"/>
  <c r="GB6" i="100"/>
  <c r="EN6" i="100"/>
  <c r="EZ6" i="100"/>
  <c r="FL6" i="100"/>
  <c r="FX6" i="100"/>
  <c r="EJ6" i="100"/>
  <c r="EV6" i="100"/>
  <c r="FH6" i="100"/>
  <c r="FT6" i="100"/>
  <c r="GU4" i="100"/>
  <c r="GT4" i="100"/>
  <c r="GS4" i="100"/>
  <c r="GR4" i="100"/>
  <c r="BD4" i="100"/>
  <c r="BF4" i="100" s="1"/>
  <c r="BV4" i="100"/>
  <c r="BW4" i="100"/>
  <c r="CD4" i="100" s="1"/>
  <c r="CJ4" i="100" s="1"/>
  <c r="GW4" i="100" l="1"/>
  <c r="G87" i="99" s="1"/>
  <c r="CP6" i="100"/>
  <c r="CR6" i="100"/>
  <c r="AB6" i="100" s="1"/>
  <c r="CQ6" i="100"/>
  <c r="AA6" i="100" s="1"/>
  <c r="CO6" i="100"/>
  <c r="W6" i="100" s="1"/>
  <c r="CS6" i="100"/>
  <c r="AC6" i="100" s="1"/>
  <c r="CU5" i="100"/>
  <c r="Y5" i="100" s="1"/>
  <c r="Z5" i="100"/>
  <c r="CT5" i="100"/>
  <c r="X5" i="100" s="1"/>
  <c r="GV4" i="100"/>
  <c r="G84" i="99" s="1"/>
  <c r="CE4" i="100"/>
  <c r="CV4" i="100" s="1"/>
  <c r="DL4" i="100"/>
  <c r="DX4" i="100" s="1"/>
  <c r="DM4" i="100"/>
  <c r="DY4" i="100" s="1"/>
  <c r="DO4" i="100"/>
  <c r="EA4" i="100" s="1"/>
  <c r="DQ4" i="100"/>
  <c r="EC4" i="100" s="1"/>
  <c r="DS4" i="100"/>
  <c r="EE4" i="100" s="1"/>
  <c r="DU4" i="100"/>
  <c r="EG4" i="100" s="1"/>
  <c r="DW4" i="100"/>
  <c r="EI4" i="100" s="1"/>
  <c r="DN4" i="100"/>
  <c r="DZ4" i="100" s="1"/>
  <c r="DP4" i="100"/>
  <c r="EB4" i="100" s="1"/>
  <c r="DR4" i="100"/>
  <c r="ED4" i="100" s="1"/>
  <c r="DT4" i="100"/>
  <c r="EF4" i="100" s="1"/>
  <c r="DV4" i="100"/>
  <c r="EH4" i="100" s="1"/>
  <c r="CM4" i="100"/>
  <c r="T4" i="100"/>
  <c r="G45" i="99" s="1"/>
  <c r="CL4" i="100"/>
  <c r="C55" i="99"/>
  <c r="C69" i="99"/>
  <c r="B39" i="99"/>
  <c r="G17" i="99"/>
  <c r="G14" i="99"/>
  <c r="GY4" i="100" l="1"/>
  <c r="G88" i="99" s="1"/>
  <c r="Z6" i="100"/>
  <c r="CT6" i="100"/>
  <c r="X6" i="100" s="1"/>
  <c r="CU6" i="100"/>
  <c r="Y6" i="100" s="1"/>
  <c r="HE4" i="100"/>
  <c r="G97" i="99" s="1"/>
  <c r="AE4" i="100"/>
  <c r="G68" i="99" s="1"/>
  <c r="HD4" i="100"/>
  <c r="G94" i="99" s="1"/>
  <c r="GX4" i="100"/>
  <c r="G85" i="99" s="1"/>
  <c r="HA4" i="100"/>
  <c r="G89" i="99" s="1"/>
  <c r="GF4" i="100"/>
  <c r="GG4" i="100"/>
  <c r="GI4" i="100"/>
  <c r="GK4" i="100"/>
  <c r="GM4" i="100"/>
  <c r="GO4" i="100"/>
  <c r="GQ4" i="100"/>
  <c r="GH4" i="100"/>
  <c r="GJ4" i="100"/>
  <c r="GL4" i="100"/>
  <c r="GN4" i="100"/>
  <c r="GP4" i="100"/>
  <c r="CX4" i="100"/>
  <c r="FR4" i="100"/>
  <c r="GD4" i="100"/>
  <c r="FN4" i="100"/>
  <c r="FZ4" i="100"/>
  <c r="FJ4" i="100"/>
  <c r="FV4" i="100"/>
  <c r="FQ4" i="100"/>
  <c r="GC4" i="100"/>
  <c r="FM4" i="100"/>
  <c r="FY4" i="100"/>
  <c r="FI4" i="100"/>
  <c r="FU4" i="100"/>
  <c r="FP4" i="100"/>
  <c r="GB4" i="100"/>
  <c r="FL4" i="100"/>
  <c r="FX4" i="100"/>
  <c r="FS4" i="100"/>
  <c r="GE4" i="100"/>
  <c r="FO4" i="100"/>
  <c r="GA4" i="100"/>
  <c r="FK4" i="100"/>
  <c r="FW4" i="100"/>
  <c r="FH4" i="100"/>
  <c r="FT4" i="100"/>
  <c r="ET4" i="100"/>
  <c r="FF4" i="100"/>
  <c r="EP4" i="100"/>
  <c r="FB4" i="100"/>
  <c r="EL4" i="100"/>
  <c r="EX4" i="100"/>
  <c r="ES4" i="100"/>
  <c r="FE4" i="100"/>
  <c r="EO4" i="100"/>
  <c r="FA4" i="100"/>
  <c r="EK4" i="100"/>
  <c r="EW4" i="100"/>
  <c r="ER4" i="100"/>
  <c r="FD4" i="100"/>
  <c r="EN4" i="100"/>
  <c r="EZ4" i="100"/>
  <c r="EU4" i="100"/>
  <c r="FG4" i="100"/>
  <c r="EQ4" i="100"/>
  <c r="FC4" i="100"/>
  <c r="EM4" i="100"/>
  <c r="EY4" i="100"/>
  <c r="EJ4" i="100"/>
  <c r="EV4" i="100"/>
  <c r="U4" i="100"/>
  <c r="G47" i="99" s="1"/>
  <c r="V4" i="100"/>
  <c r="CN4" i="100"/>
  <c r="CP4" i="100" s="1"/>
  <c r="GZ4" i="100" l="1"/>
  <c r="G86" i="99" s="1"/>
  <c r="HG4" i="100"/>
  <c r="HI4" i="100" s="1"/>
  <c r="G99" i="99" s="1"/>
  <c r="AF4" i="100"/>
  <c r="G70" i="99" s="1"/>
  <c r="G98" i="99"/>
  <c r="HF4" i="100"/>
  <c r="G95" i="99" s="1"/>
  <c r="CY4" i="100"/>
  <c r="CQ4" i="100"/>
  <c r="AA4" i="100" s="1"/>
  <c r="G61" i="99" s="1"/>
  <c r="Z4" i="100"/>
  <c r="G60" i="99" s="1"/>
  <c r="CR4" i="100"/>
  <c r="AB4" i="100" s="1"/>
  <c r="G62" i="99" s="1"/>
  <c r="CS4" i="100"/>
  <c r="AC4" i="100" s="1"/>
  <c r="G63" i="99" s="1"/>
  <c r="CO4" i="100"/>
  <c r="W4" i="100" s="1"/>
  <c r="G55" i="99" s="1"/>
  <c r="AG4" i="100" l="1"/>
  <c r="G72" i="99" s="1"/>
  <c r="HH4" i="100"/>
  <c r="G96" i="99" s="1"/>
  <c r="CU4" i="100"/>
  <c r="Y4" i="100" s="1"/>
  <c r="G52" i="99" s="1"/>
  <c r="CT4" i="100"/>
  <c r="X4" i="100" s="1"/>
  <c r="G50" i="99" s="1"/>
  <c r="F5" i="97" l="1"/>
  <c r="F5" i="80"/>
  <c r="F5" i="30"/>
  <c r="F5" i="65"/>
  <c r="F5" i="68"/>
  <c r="F5" i="67"/>
  <c r="F5" i="28"/>
  <c r="C5" i="97"/>
  <c r="C5" i="80"/>
  <c r="C5" i="30"/>
  <c r="C5" i="65"/>
  <c r="C5" i="68"/>
  <c r="C5" i="67"/>
  <c r="C5" i="28"/>
  <c r="C46" i="28" l="1"/>
  <c r="C57" i="67"/>
  <c r="C46" i="78"/>
  <c r="C45" i="65"/>
  <c r="C56" i="80"/>
  <c r="C51" i="30"/>
  <c r="C38" i="28"/>
  <c r="C39" i="97"/>
  <c r="C43" i="30"/>
  <c r="C48" i="80"/>
  <c r="C37" i="65"/>
  <c r="C38" i="78"/>
  <c r="C37" i="68"/>
  <c r="C49" i="67"/>
  <c r="BW6" i="98"/>
  <c r="BS6" i="98"/>
  <c r="BO6" i="98"/>
  <c r="BM6" i="98"/>
  <c r="BK6" i="98"/>
  <c r="BJ6" i="98"/>
  <c r="BI6" i="98"/>
  <c r="BG6" i="98"/>
  <c r="BF6" i="98"/>
  <c r="BE6" i="98"/>
  <c r="BD6" i="98"/>
  <c r="AR6" i="98"/>
  <c r="AQ6" i="98"/>
  <c r="AP6" i="98"/>
  <c r="AI6" i="98"/>
  <c r="AH6" i="98"/>
  <c r="AG6" i="98"/>
  <c r="AF6" i="98"/>
  <c r="Q6" i="98"/>
  <c r="FO5" i="79"/>
  <c r="FP5" i="79"/>
  <c r="FQ5" i="79"/>
  <c r="FR5" i="79"/>
  <c r="FS5" i="79"/>
  <c r="FT5" i="79"/>
  <c r="FU5" i="79"/>
  <c r="FV5" i="79"/>
  <c r="FW5" i="79"/>
  <c r="FX5" i="79"/>
  <c r="FY5" i="79"/>
  <c r="FZ5" i="79"/>
  <c r="FO6" i="79"/>
  <c r="FP6" i="79"/>
  <c r="FQ6" i="79"/>
  <c r="FR6" i="79"/>
  <c r="FS6" i="79"/>
  <c r="FT6" i="79"/>
  <c r="FU6" i="79"/>
  <c r="FV6" i="79"/>
  <c r="FW6" i="79"/>
  <c r="FX6" i="79"/>
  <c r="FY6" i="79"/>
  <c r="FZ6" i="79"/>
  <c r="FP4" i="79"/>
  <c r="FQ4" i="79"/>
  <c r="FR4" i="79"/>
  <c r="FS4" i="79"/>
  <c r="FT4" i="79"/>
  <c r="FU4" i="79"/>
  <c r="FV4" i="79"/>
  <c r="FW4" i="79"/>
  <c r="FX4" i="79"/>
  <c r="FY4" i="79"/>
  <c r="FZ4" i="79"/>
  <c r="FO4" i="79"/>
  <c r="BH6" i="98" l="1"/>
  <c r="BL6" i="98"/>
  <c r="BN6" i="98"/>
  <c r="BR6" i="98"/>
  <c r="BT6" i="98" s="1"/>
  <c r="BP6" i="98"/>
  <c r="AK6" i="98"/>
  <c r="AJ6" i="98"/>
  <c r="AM6" i="98"/>
  <c r="AT6" i="98" s="1"/>
  <c r="BU6" i="79"/>
  <c r="BU5" i="79"/>
  <c r="AS6" i="98" l="1"/>
  <c r="AP5" i="98" l="1"/>
  <c r="AQ5" i="98"/>
  <c r="AR5" i="98"/>
  <c r="AH5" i="98"/>
  <c r="AI5" i="98"/>
  <c r="AG5" i="98"/>
  <c r="AF5" i="98"/>
  <c r="AR4" i="98"/>
  <c r="AQ4" i="98"/>
  <c r="AP4" i="98"/>
  <c r="F192" i="14"/>
  <c r="G192" i="14"/>
  <c r="H192" i="14"/>
  <c r="J192" i="14"/>
  <c r="K192" i="14"/>
  <c r="F193" i="14"/>
  <c r="G193" i="14"/>
  <c r="H193" i="14"/>
  <c r="I193" i="14" s="1"/>
  <c r="J193" i="14"/>
  <c r="K193" i="14"/>
  <c r="F194" i="14"/>
  <c r="G194" i="14"/>
  <c r="H194" i="14"/>
  <c r="I194" i="14" s="1"/>
  <c r="J194" i="14"/>
  <c r="K194" i="14"/>
  <c r="F195" i="14"/>
  <c r="G195" i="14"/>
  <c r="H195" i="14"/>
  <c r="I195" i="14" s="1"/>
  <c r="J195" i="14"/>
  <c r="K195" i="14"/>
  <c r="F196" i="14"/>
  <c r="G196" i="14"/>
  <c r="H196" i="14"/>
  <c r="I196" i="14" s="1"/>
  <c r="J196" i="14"/>
  <c r="K196" i="14"/>
  <c r="F197" i="14"/>
  <c r="G197" i="14"/>
  <c r="H197" i="14"/>
  <c r="I197" i="14" s="1"/>
  <c r="J197" i="14"/>
  <c r="K197" i="14"/>
  <c r="F198" i="14"/>
  <c r="G198" i="14"/>
  <c r="H198" i="14"/>
  <c r="J198" i="14"/>
  <c r="K198" i="14"/>
  <c r="F199" i="14"/>
  <c r="G199" i="14"/>
  <c r="H199" i="14"/>
  <c r="I199" i="14" s="1"/>
  <c r="J199" i="14"/>
  <c r="K199" i="14"/>
  <c r="A4" i="98"/>
  <c r="BW4" i="98" s="1"/>
  <c r="Q4" i="98" s="1"/>
  <c r="B4" i="98"/>
  <c r="AI4" i="98" s="1"/>
  <c r="C4" i="98"/>
  <c r="D4" i="98"/>
  <c r="E4" i="98"/>
  <c r="F4" i="98"/>
  <c r="BD4" i="98" s="1"/>
  <c r="G4" i="98"/>
  <c r="BE4" i="98" s="1"/>
  <c r="H4" i="98"/>
  <c r="I4" i="98"/>
  <c r="J4" i="98"/>
  <c r="BG4" i="98" s="1"/>
  <c r="K4" i="98"/>
  <c r="BF4" i="98" s="1"/>
  <c r="BH4" i="98" s="1"/>
  <c r="L4" i="98"/>
  <c r="BI4" i="98" s="1"/>
  <c r="M4" i="98"/>
  <c r="N4" i="98"/>
  <c r="O4" i="98"/>
  <c r="P4" i="98"/>
  <c r="AB4" i="98"/>
  <c r="AC4" i="98"/>
  <c r="AD4" i="98"/>
  <c r="AE4" i="98"/>
  <c r="BD5" i="98"/>
  <c r="BE5" i="98"/>
  <c r="BF5" i="98"/>
  <c r="BH5" i="98" s="1"/>
  <c r="BG5" i="98"/>
  <c r="BI5" i="98"/>
  <c r="BJ5" i="98"/>
  <c r="BK5" i="98"/>
  <c r="BM5" i="98"/>
  <c r="BO5" i="98"/>
  <c r="BS5" i="98"/>
  <c r="BW5" i="98"/>
  <c r="Q5" i="98" s="1"/>
  <c r="B13" i="97"/>
  <c r="B24" i="97"/>
  <c r="B25" i="97"/>
  <c r="B27" i="97"/>
  <c r="B28" i="97"/>
  <c r="B31" i="97"/>
  <c r="C47" i="97"/>
  <c r="AO6" i="98" l="1"/>
  <c r="BQ6" i="98" s="1"/>
  <c r="AL6" i="98"/>
  <c r="AN6" i="98"/>
  <c r="I192" i="14"/>
  <c r="BK4" i="98"/>
  <c r="BL5" i="98"/>
  <c r="BM4" i="98"/>
  <c r="I198" i="14"/>
  <c r="AL5" i="98"/>
  <c r="BJ4" i="98"/>
  <c r="AF4" i="98"/>
  <c r="AJ4" i="98" s="1"/>
  <c r="AG4" i="98"/>
  <c r="AH4" i="98"/>
  <c r="BN5" i="98"/>
  <c r="BP5" i="98" s="1"/>
  <c r="AK5" i="98"/>
  <c r="BR5" i="98"/>
  <c r="BT5" i="98" s="1"/>
  <c r="BL4" i="98"/>
  <c r="BO4" i="98" s="1"/>
  <c r="BR4" i="98"/>
  <c r="AJ5" i="98"/>
  <c r="BS4" i="98"/>
  <c r="AO5" i="98"/>
  <c r="AN5" i="98"/>
  <c r="AM5" i="98"/>
  <c r="AT5" i="98" s="1"/>
  <c r="BN4" i="98"/>
  <c r="BU6" i="98" l="1"/>
  <c r="BV6" i="98" s="1"/>
  <c r="CT6" i="98" s="1"/>
  <c r="CV6" i="98"/>
  <c r="CX6" i="98"/>
  <c r="CZ6" i="98"/>
  <c r="DD6" i="98"/>
  <c r="CU6" i="98"/>
  <c r="CW6" i="98"/>
  <c r="DA6" i="98"/>
  <c r="DC6" i="98"/>
  <c r="DE6" i="98"/>
  <c r="FS5" i="98"/>
  <c r="AU6" i="98"/>
  <c r="FS6" i="98"/>
  <c r="FR6" i="98" s="1"/>
  <c r="FQ6" i="98" s="1"/>
  <c r="FP6" i="98" s="1"/>
  <c r="AO4" i="98"/>
  <c r="BC4" i="98"/>
  <c r="BA4" i="98"/>
  <c r="AY4" i="98"/>
  <c r="AZ4" i="98"/>
  <c r="AX4" i="98"/>
  <c r="AV4" i="98"/>
  <c r="AW4" i="98"/>
  <c r="BB4" i="98"/>
  <c r="BQ5" i="98"/>
  <c r="BX6" i="98"/>
  <c r="R6" i="98"/>
  <c r="BT4" i="98"/>
  <c r="AS4" i="98"/>
  <c r="AL4" i="98"/>
  <c r="AN4" i="98"/>
  <c r="AK4" i="98"/>
  <c r="AM4" i="98"/>
  <c r="AT4" i="98" s="1"/>
  <c r="BP4" i="98"/>
  <c r="BU5" i="98"/>
  <c r="BV5" i="98" s="1"/>
  <c r="AS5" i="98"/>
  <c r="CY6" i="98" l="1"/>
  <c r="DB6" i="98"/>
  <c r="FS4" i="98"/>
  <c r="FN4" i="98"/>
  <c r="DQ6" i="98"/>
  <c r="DM6" i="98"/>
  <c r="DI6" i="98"/>
  <c r="DP6" i="98"/>
  <c r="DL6" i="98"/>
  <c r="DH6" i="98"/>
  <c r="CT5" i="98"/>
  <c r="CV5" i="98"/>
  <c r="CX5" i="98"/>
  <c r="CZ5" i="98"/>
  <c r="DB5" i="98"/>
  <c r="DD5" i="98"/>
  <c r="CU5" i="98"/>
  <c r="CW5" i="98"/>
  <c r="CY5" i="98"/>
  <c r="DA5" i="98"/>
  <c r="DC5" i="98"/>
  <c r="DE5" i="98"/>
  <c r="DO6" i="98"/>
  <c r="DK6" i="98"/>
  <c r="DG6" i="98"/>
  <c r="DN6" i="98"/>
  <c r="DJ6" i="98"/>
  <c r="DF6" i="98"/>
  <c r="FO4" i="98"/>
  <c r="FR5" i="98"/>
  <c r="FQ5" i="98" s="1"/>
  <c r="FP5" i="98" s="1"/>
  <c r="AU5" i="98"/>
  <c r="BU4" i="98"/>
  <c r="BY6" i="98"/>
  <c r="T6" i="98"/>
  <c r="AU4" i="98"/>
  <c r="BQ4" i="98"/>
  <c r="BV4" i="98" s="1"/>
  <c r="R5" i="98"/>
  <c r="BX5" i="98"/>
  <c r="CT4" i="98" l="1"/>
  <c r="DF4" i="98" s="1"/>
  <c r="CV4" i="98"/>
  <c r="DH4" i="98" s="1"/>
  <c r="CX4" i="98"/>
  <c r="DJ4" i="98" s="1"/>
  <c r="CZ4" i="98"/>
  <c r="DL4" i="98" s="1"/>
  <c r="DB4" i="98"/>
  <c r="DN4" i="98" s="1"/>
  <c r="DD4" i="98"/>
  <c r="DP4" i="98" s="1"/>
  <c r="CU4" i="98"/>
  <c r="DG4" i="98" s="1"/>
  <c r="CW4" i="98"/>
  <c r="DI4" i="98" s="1"/>
  <c r="CY4" i="98"/>
  <c r="DK4" i="98" s="1"/>
  <c r="DA4" i="98"/>
  <c r="DM4" i="98" s="1"/>
  <c r="DC4" i="98"/>
  <c r="DO4" i="98" s="1"/>
  <c r="DE4" i="98"/>
  <c r="DQ4" i="98" s="1"/>
  <c r="DV6" i="98"/>
  <c r="EH6" i="98"/>
  <c r="ET6" i="98"/>
  <c r="FF6" i="98"/>
  <c r="DS6" i="98"/>
  <c r="EE6" i="98"/>
  <c r="EQ6" i="98"/>
  <c r="FC6" i="98"/>
  <c r="EA6" i="98"/>
  <c r="EM6" i="98"/>
  <c r="EY6" i="98"/>
  <c r="FK6" i="98"/>
  <c r="DO5" i="98"/>
  <c r="DK5" i="98"/>
  <c r="DG5" i="98"/>
  <c r="DN5" i="98"/>
  <c r="DJ5" i="98"/>
  <c r="DF5" i="98"/>
  <c r="DX6" i="98"/>
  <c r="EJ6" i="98"/>
  <c r="EV6" i="98"/>
  <c r="FH6" i="98"/>
  <c r="DU6" i="98"/>
  <c r="EG6" i="98"/>
  <c r="ES6" i="98"/>
  <c r="FE6" i="98"/>
  <c r="EC6" i="98"/>
  <c r="EO6" i="98"/>
  <c r="FA6" i="98"/>
  <c r="FM6" i="98"/>
  <c r="DR6" i="98"/>
  <c r="ED6" i="98"/>
  <c r="EP6" i="98"/>
  <c r="FB6" i="98"/>
  <c r="DZ6" i="98"/>
  <c r="EL6" i="98"/>
  <c r="EX6" i="98"/>
  <c r="FJ6" i="98"/>
  <c r="DW6" i="98"/>
  <c r="EI6" i="98"/>
  <c r="EU6" i="98"/>
  <c r="FG6" i="98"/>
  <c r="DQ5" i="98"/>
  <c r="DM5" i="98"/>
  <c r="DI5" i="98"/>
  <c r="DP5" i="98"/>
  <c r="DL5" i="98"/>
  <c r="DH5" i="98"/>
  <c r="DT6" i="98"/>
  <c r="EF6" i="98"/>
  <c r="ER6" i="98"/>
  <c r="FD6" i="98"/>
  <c r="EB6" i="98"/>
  <c r="EN6" i="98"/>
  <c r="EZ6" i="98"/>
  <c r="FL6" i="98"/>
  <c r="DY6" i="98"/>
  <c r="EK6" i="98"/>
  <c r="EW6" i="98"/>
  <c r="FI6" i="98"/>
  <c r="FR4" i="98"/>
  <c r="FQ4" i="98" s="1"/>
  <c r="FP4" i="98" s="1"/>
  <c r="E69" i="97" s="1"/>
  <c r="E70" i="97" s="1"/>
  <c r="S6" i="98"/>
  <c r="BZ6" i="98"/>
  <c r="BX4" i="98"/>
  <c r="BY4" i="98" s="1"/>
  <c r="S4" i="98" s="1"/>
  <c r="R4" i="98"/>
  <c r="BY5" i="98"/>
  <c r="T5" i="98"/>
  <c r="DT5" i="98" l="1"/>
  <c r="EF5" i="98"/>
  <c r="ER5" i="98"/>
  <c r="FD5" i="98"/>
  <c r="EB5" i="98"/>
  <c r="EN5" i="98"/>
  <c r="EZ5" i="98"/>
  <c r="FL5" i="98"/>
  <c r="DY5" i="98"/>
  <c r="EK5" i="98"/>
  <c r="EW5" i="98"/>
  <c r="FI5" i="98"/>
  <c r="DR5" i="98"/>
  <c r="ED5" i="98"/>
  <c r="EP5" i="98"/>
  <c r="FB5" i="98"/>
  <c r="DZ5" i="98"/>
  <c r="EL5" i="98"/>
  <c r="EX5" i="98"/>
  <c r="FJ5" i="98"/>
  <c r="DW5" i="98"/>
  <c r="EI5" i="98"/>
  <c r="EU5" i="98"/>
  <c r="FG5" i="98"/>
  <c r="EC4" i="98"/>
  <c r="EO4" i="98"/>
  <c r="FA4" i="98"/>
  <c r="FM4" i="98"/>
  <c r="DY4" i="98"/>
  <c r="EK4" i="98"/>
  <c r="EW4" i="98"/>
  <c r="FI4" i="98"/>
  <c r="DU4" i="98"/>
  <c r="EG4" i="98"/>
  <c r="ES4" i="98"/>
  <c r="FE4" i="98"/>
  <c r="EB4" i="98"/>
  <c r="EN4" i="98"/>
  <c r="EZ4" i="98"/>
  <c r="FL4" i="98"/>
  <c r="DX4" i="98"/>
  <c r="EJ4" i="98"/>
  <c r="EV4" i="98"/>
  <c r="FH4" i="98"/>
  <c r="DT4" i="98"/>
  <c r="EF4" i="98"/>
  <c r="ER4" i="98"/>
  <c r="FD4" i="98"/>
  <c r="DX5" i="98"/>
  <c r="EJ5" i="98"/>
  <c r="EV5" i="98"/>
  <c r="FH5" i="98"/>
  <c r="DU5" i="98"/>
  <c r="EG5" i="98"/>
  <c r="ES5" i="98"/>
  <c r="FE5" i="98"/>
  <c r="EC5" i="98"/>
  <c r="EO5" i="98"/>
  <c r="FA5" i="98"/>
  <c r="FM5" i="98"/>
  <c r="DV5" i="98"/>
  <c r="EH5" i="98"/>
  <c r="ET5" i="98"/>
  <c r="FF5" i="98"/>
  <c r="DS5" i="98"/>
  <c r="EE5" i="98"/>
  <c r="EQ5" i="98"/>
  <c r="FC5" i="98"/>
  <c r="EA5" i="98"/>
  <c r="EM5" i="98"/>
  <c r="EY5" i="98"/>
  <c r="FK5" i="98"/>
  <c r="EA4" i="98"/>
  <c r="EM4" i="98"/>
  <c r="EY4" i="98"/>
  <c r="FK4" i="98"/>
  <c r="DW4" i="98"/>
  <c r="EI4" i="98"/>
  <c r="EU4" i="98"/>
  <c r="FG4" i="98"/>
  <c r="DS4" i="98"/>
  <c r="EE4" i="98"/>
  <c r="EQ4" i="98"/>
  <c r="FC4" i="98"/>
  <c r="DZ4" i="98"/>
  <c r="EL4" i="98"/>
  <c r="EX4" i="98"/>
  <c r="FJ4" i="98"/>
  <c r="DV4" i="98"/>
  <c r="EH4" i="98"/>
  <c r="ET4" i="98"/>
  <c r="FF4" i="98"/>
  <c r="DR4" i="98"/>
  <c r="ED4" i="98"/>
  <c r="EP4" i="98"/>
  <c r="FB4" i="98"/>
  <c r="CA6" i="98"/>
  <c r="U6" i="98" s="1"/>
  <c r="CE6" i="98"/>
  <c r="AA6" i="98" s="1"/>
  <c r="CD6" i="98"/>
  <c r="Z6" i="98" s="1"/>
  <c r="CB6" i="98"/>
  <c r="CC6" i="98"/>
  <c r="Y6" i="98" s="1"/>
  <c r="T4" i="98"/>
  <c r="BZ5" i="98"/>
  <c r="S5" i="98"/>
  <c r="X6" i="98" l="1"/>
  <c r="BZ4" i="98"/>
  <c r="CB5" i="98"/>
  <c r="CA5" i="98"/>
  <c r="U5" i="98" s="1"/>
  <c r="CC5" i="98"/>
  <c r="Y5" i="98" s="1"/>
  <c r="CD5" i="98"/>
  <c r="Z5" i="98" s="1"/>
  <c r="CE5" i="98"/>
  <c r="AA5" i="98" s="1"/>
  <c r="CE4" i="98" l="1"/>
  <c r="AA4" i="98" s="1"/>
  <c r="CA4" i="98"/>
  <c r="CB4" i="98"/>
  <c r="CC4" i="98"/>
  <c r="Y4" i="98" s="1"/>
  <c r="CD4" i="98"/>
  <c r="Z4" i="98" s="1"/>
  <c r="X5" i="98"/>
  <c r="U4" i="98" l="1"/>
  <c r="CF4" i="98"/>
  <c r="V4" i="98" s="1"/>
  <c r="X4" i="98"/>
  <c r="CG4" i="98"/>
  <c r="W4" i="98" s="1"/>
  <c r="G53" i="97"/>
  <c r="G54" i="97" l="1"/>
  <c r="G52" i="97" l="1"/>
  <c r="J3" i="96" l="1"/>
  <c r="K3" i="96"/>
  <c r="C28" i="96" s="1"/>
  <c r="J4" i="96"/>
  <c r="K4" i="96"/>
  <c r="J5" i="96"/>
  <c r="H30" i="96" s="1"/>
  <c r="K5" i="96"/>
  <c r="C30" i="96" s="1"/>
  <c r="J6" i="96"/>
  <c r="H31" i="96" s="1"/>
  <c r="K6" i="96"/>
  <c r="C31" i="96" s="1"/>
  <c r="J7" i="96"/>
  <c r="K7" i="96"/>
  <c r="J8" i="96"/>
  <c r="K8" i="96"/>
  <c r="C33" i="96" s="1"/>
  <c r="J9" i="96"/>
  <c r="K9" i="96"/>
  <c r="C34" i="96" s="1"/>
  <c r="K2" i="96"/>
  <c r="C27" i="96" s="1"/>
  <c r="J2" i="96"/>
  <c r="H27" i="96" s="1"/>
  <c r="L34" i="96"/>
  <c r="K34" i="96"/>
  <c r="J34" i="96"/>
  <c r="I34" i="96"/>
  <c r="H34" i="96"/>
  <c r="G34" i="96"/>
  <c r="F34" i="96"/>
  <c r="E34" i="96"/>
  <c r="D34" i="96"/>
  <c r="L33" i="96"/>
  <c r="K33" i="96"/>
  <c r="J33" i="96"/>
  <c r="I33" i="96"/>
  <c r="H33" i="96"/>
  <c r="G33" i="96"/>
  <c r="F33" i="96"/>
  <c r="E33" i="96"/>
  <c r="D33" i="96"/>
  <c r="L32" i="96"/>
  <c r="K32" i="96"/>
  <c r="J32" i="96"/>
  <c r="I32" i="96"/>
  <c r="H32" i="96"/>
  <c r="G32" i="96"/>
  <c r="F32" i="96"/>
  <c r="E32" i="96"/>
  <c r="D32" i="96"/>
  <c r="C32" i="96"/>
  <c r="L31" i="96"/>
  <c r="K31" i="96"/>
  <c r="J31" i="96"/>
  <c r="I31" i="96"/>
  <c r="G31" i="96"/>
  <c r="F31" i="96"/>
  <c r="E31" i="96"/>
  <c r="D31" i="96"/>
  <c r="L30" i="96"/>
  <c r="K30" i="96"/>
  <c r="J30" i="96"/>
  <c r="I30" i="96"/>
  <c r="G30" i="96"/>
  <c r="F30" i="96"/>
  <c r="E30" i="96"/>
  <c r="D30" i="96"/>
  <c r="L29" i="96"/>
  <c r="K29" i="96"/>
  <c r="J29" i="96"/>
  <c r="I29" i="96"/>
  <c r="H29" i="96"/>
  <c r="G29" i="96"/>
  <c r="F29" i="96"/>
  <c r="E29" i="96"/>
  <c r="D29" i="96"/>
  <c r="C29" i="96"/>
  <c r="L28" i="96"/>
  <c r="K28" i="96"/>
  <c r="J28" i="96"/>
  <c r="I28" i="96"/>
  <c r="H28" i="96"/>
  <c r="G28" i="96"/>
  <c r="F28" i="96"/>
  <c r="E28" i="96"/>
  <c r="D28" i="96"/>
  <c r="L27" i="96"/>
  <c r="K27" i="96"/>
  <c r="J27" i="96"/>
  <c r="I27" i="96"/>
  <c r="G27" i="96"/>
  <c r="F27" i="96"/>
  <c r="E27" i="96"/>
  <c r="D27" i="96"/>
  <c r="C17" i="96"/>
  <c r="C16" i="96"/>
  <c r="C15" i="96"/>
  <c r="C14" i="96"/>
  <c r="C13" i="96"/>
  <c r="C12" i="96"/>
  <c r="C11" i="96"/>
  <c r="C10" i="96"/>
  <c r="C9" i="96"/>
  <c r="C8" i="96"/>
  <c r="C7" i="96"/>
  <c r="C6" i="96"/>
  <c r="C5" i="96"/>
  <c r="C4" i="96"/>
  <c r="C3" i="96"/>
  <c r="C2" i="96"/>
  <c r="CI5" i="79"/>
  <c r="CJ5" i="79"/>
  <c r="CK5" i="79"/>
  <c r="CL5" i="79"/>
  <c r="CM5" i="79"/>
  <c r="CN5" i="79"/>
  <c r="CO5" i="79"/>
  <c r="CP5" i="79"/>
  <c r="CQ5" i="79"/>
  <c r="CR5" i="79"/>
  <c r="CS5" i="79"/>
  <c r="CT5" i="79"/>
  <c r="CI6" i="79"/>
  <c r="CJ6" i="79"/>
  <c r="CK6" i="79"/>
  <c r="CL6" i="79"/>
  <c r="CM6" i="79"/>
  <c r="CN6" i="79"/>
  <c r="CO6" i="79"/>
  <c r="CP6" i="79"/>
  <c r="CQ6" i="79"/>
  <c r="CR6" i="79"/>
  <c r="CS6" i="79"/>
  <c r="CT6" i="79"/>
  <c r="CJ4" i="79"/>
  <c r="CK4" i="79"/>
  <c r="CL4" i="79"/>
  <c r="CM4" i="79"/>
  <c r="CN4" i="79"/>
  <c r="CO4" i="79"/>
  <c r="CP4" i="79"/>
  <c r="CQ4" i="79"/>
  <c r="CR4" i="79"/>
  <c r="CS4" i="79"/>
  <c r="CT4" i="79"/>
  <c r="CI4" i="79"/>
  <c r="AW6" i="98" l="1"/>
  <c r="AW5" i="98"/>
  <c r="AY6" i="98"/>
  <c r="AY5" i="98"/>
  <c r="AX6" i="98"/>
  <c r="AX5" i="98"/>
  <c r="AZ6" i="98"/>
  <c r="AZ5" i="98"/>
  <c r="BA6" i="98"/>
  <c r="BA5" i="98"/>
  <c r="BC6" i="98"/>
  <c r="BC5" i="98"/>
  <c r="BB6" i="98"/>
  <c r="BB5" i="98"/>
  <c r="AV6" i="98"/>
  <c r="FN6" i="98" s="1"/>
  <c r="AV5" i="98"/>
  <c r="FN5" i="98" s="1"/>
  <c r="BZ5" i="66"/>
  <c r="BZ6" i="66"/>
  <c r="AB5" i="69"/>
  <c r="AC5" i="69"/>
  <c r="AB6" i="69"/>
  <c r="AC6" i="69"/>
  <c r="AC4" i="69"/>
  <c r="AB4" i="69"/>
  <c r="FO5" i="98" l="1"/>
  <c r="FO6" i="98"/>
  <c r="AL5" i="19"/>
  <c r="AM5" i="19"/>
  <c r="AN5" i="19"/>
  <c r="AO5" i="19"/>
  <c r="CE5" i="19" s="1"/>
  <c r="AP5" i="19"/>
  <c r="AQ5" i="19"/>
  <c r="BQ5" i="19" s="1"/>
  <c r="AU5" i="19"/>
  <c r="AV5" i="19"/>
  <c r="BL5" i="19"/>
  <c r="BM5" i="19"/>
  <c r="BN5" i="19"/>
  <c r="BO5" i="19"/>
  <c r="BP5" i="19"/>
  <c r="BR5" i="19"/>
  <c r="BS5" i="19"/>
  <c r="BT5" i="19"/>
  <c r="BU5" i="19"/>
  <c r="BV5" i="19"/>
  <c r="BZ5" i="19"/>
  <c r="CA5" i="19"/>
  <c r="CB5" i="19"/>
  <c r="CC5" i="19"/>
  <c r="CD5" i="19"/>
  <c r="CF5" i="19"/>
  <c r="CG5" i="19"/>
  <c r="CH5" i="19"/>
  <c r="CK5" i="19"/>
  <c r="CW5" i="19"/>
  <c r="CZ5" i="19"/>
  <c r="DA5" i="19"/>
  <c r="DB5" i="19"/>
  <c r="DC5" i="19"/>
  <c r="DD5" i="19"/>
  <c r="DE5" i="19"/>
  <c r="DF5" i="19"/>
  <c r="DG5" i="19"/>
  <c r="DH5" i="19"/>
  <c r="DI5" i="19"/>
  <c r="DJ5" i="19"/>
  <c r="DK5" i="19"/>
  <c r="HF5" i="19"/>
  <c r="HG5" i="19"/>
  <c r="AL6" i="19"/>
  <c r="AM6" i="19"/>
  <c r="AN6" i="19"/>
  <c r="AO6" i="19"/>
  <c r="AP6" i="19"/>
  <c r="AQ6" i="19"/>
  <c r="BJ6" i="19" s="1"/>
  <c r="AU6" i="19"/>
  <c r="AV6" i="19"/>
  <c r="BL6" i="19"/>
  <c r="BM6" i="19"/>
  <c r="BN6" i="19"/>
  <c r="BO6" i="19"/>
  <c r="BP6" i="19"/>
  <c r="BR6" i="19"/>
  <c r="BS6" i="19"/>
  <c r="BT6" i="19"/>
  <c r="BU6" i="19"/>
  <c r="BV6" i="19"/>
  <c r="BZ6" i="19"/>
  <c r="CA6" i="19"/>
  <c r="CB6" i="19"/>
  <c r="CC6" i="19"/>
  <c r="CD6" i="19"/>
  <c r="CF6" i="19"/>
  <c r="CG6" i="19"/>
  <c r="CH6" i="19"/>
  <c r="CK6" i="19"/>
  <c r="CW6" i="19"/>
  <c r="CZ6" i="19"/>
  <c r="DA6" i="19"/>
  <c r="DB6" i="19"/>
  <c r="DC6" i="19"/>
  <c r="DD6" i="19"/>
  <c r="DE6" i="19"/>
  <c r="DF6" i="19"/>
  <c r="DG6" i="19"/>
  <c r="DH6" i="19"/>
  <c r="DI6" i="19"/>
  <c r="DJ6" i="19"/>
  <c r="DK6" i="19"/>
  <c r="HF6" i="19"/>
  <c r="HG6" i="19"/>
  <c r="BJ5" i="19" l="1"/>
  <c r="BQ6" i="19"/>
  <c r="BK5" i="19"/>
  <c r="BX5" i="19"/>
  <c r="CV5" i="19" s="1"/>
  <c r="AR5" i="19"/>
  <c r="BI5" i="19" s="1"/>
  <c r="CJ5" i="19" s="1"/>
  <c r="AS5" i="19"/>
  <c r="AT5" i="19"/>
  <c r="AX5" i="19" s="1"/>
  <c r="AR6" i="19"/>
  <c r="BI6" i="19" s="1"/>
  <c r="DU6" i="19" s="1"/>
  <c r="EG6" i="19" s="1"/>
  <c r="AS6" i="19"/>
  <c r="BF6" i="19" s="1"/>
  <c r="AT6" i="19"/>
  <c r="AX6" i="19" s="1"/>
  <c r="BY5" i="19"/>
  <c r="BW5" i="19" s="1"/>
  <c r="CE6" i="19"/>
  <c r="BX6" i="19" s="1"/>
  <c r="BY6" i="19"/>
  <c r="BW6" i="19" s="1"/>
  <c r="CU6" i="19" s="1"/>
  <c r="BK6" i="19"/>
  <c r="BP5" i="23"/>
  <c r="BP6" i="23"/>
  <c r="DB5" i="81"/>
  <c r="T5" i="81" s="1"/>
  <c r="BG6" i="19" l="1"/>
  <c r="BH6" i="19" s="1"/>
  <c r="CI6" i="19" s="1"/>
  <c r="AW5" i="19"/>
  <c r="AY5" i="19" s="1"/>
  <c r="DW6" i="19"/>
  <c r="EI6" i="19" s="1"/>
  <c r="DV6" i="19"/>
  <c r="EH6" i="19" s="1"/>
  <c r="BG5" i="19"/>
  <c r="DN6" i="19"/>
  <c r="DZ6" i="19" s="1"/>
  <c r="GX5" i="19"/>
  <c r="GY6" i="19"/>
  <c r="HA6" i="19" s="1"/>
  <c r="GW6" i="19" s="1"/>
  <c r="GV6" i="19" s="1"/>
  <c r="DP6" i="19"/>
  <c r="EB6" i="19" s="1"/>
  <c r="BF5" i="19"/>
  <c r="GY5" i="19"/>
  <c r="DO6" i="19"/>
  <c r="EA6" i="19" s="1"/>
  <c r="CL6" i="19"/>
  <c r="CM6" i="19" s="1"/>
  <c r="DM6" i="19"/>
  <c r="DY6" i="19" s="1"/>
  <c r="GG5" i="19"/>
  <c r="GO5" i="19"/>
  <c r="GP5" i="19"/>
  <c r="GM5" i="19"/>
  <c r="CY5" i="19"/>
  <c r="GI5" i="19"/>
  <c r="GL5" i="19"/>
  <c r="GF5" i="19"/>
  <c r="GH5" i="19"/>
  <c r="GQ5" i="19"/>
  <c r="GJ5" i="19"/>
  <c r="HI5" i="19"/>
  <c r="HE5" i="19" s="1"/>
  <c r="HD5" i="19" s="1"/>
  <c r="HH5" i="19"/>
  <c r="HC5" i="19" s="1"/>
  <c r="HB5" i="19" s="1"/>
  <c r="GN5" i="19"/>
  <c r="CX5" i="19"/>
  <c r="CU5" i="19"/>
  <c r="GK5" i="19"/>
  <c r="GX6" i="19"/>
  <c r="GZ6" i="19" s="1"/>
  <c r="GU6" i="19" s="1"/>
  <c r="GT6" i="19" s="1"/>
  <c r="AW6" i="19"/>
  <c r="AY6" i="19" s="1"/>
  <c r="GL6" i="19"/>
  <c r="GM6" i="19"/>
  <c r="CV6" i="19"/>
  <c r="GF6" i="19"/>
  <c r="GN6" i="19"/>
  <c r="HI6" i="19"/>
  <c r="HE6" i="19" s="1"/>
  <c r="HD6" i="19" s="1"/>
  <c r="GK6" i="19"/>
  <c r="GO6" i="19"/>
  <c r="CX6" i="19"/>
  <c r="CY6" i="19"/>
  <c r="GJ6" i="19"/>
  <c r="GG6" i="19"/>
  <c r="GP6" i="19"/>
  <c r="GH6" i="19"/>
  <c r="GQ6" i="19"/>
  <c r="GI6" i="19"/>
  <c r="HH6" i="19"/>
  <c r="HC6" i="19" s="1"/>
  <c r="HB6" i="19" s="1"/>
  <c r="DR6" i="19"/>
  <c r="ED6" i="19" s="1"/>
  <c r="DS6" i="19"/>
  <c r="EE6" i="19" s="1"/>
  <c r="DL6" i="19"/>
  <c r="DX6" i="19" s="1"/>
  <c r="DT6" i="19"/>
  <c r="EF6" i="19" s="1"/>
  <c r="CJ6" i="19"/>
  <c r="DQ6" i="19"/>
  <c r="EC6" i="19" s="1"/>
  <c r="C39" i="68"/>
  <c r="CN6" i="19" l="1"/>
  <c r="CO6" i="19" s="1"/>
  <c r="EP6" i="19"/>
  <c r="FN6" i="19" s="1"/>
  <c r="ER6" i="19"/>
  <c r="FD6" i="19" s="1"/>
  <c r="EJ6" i="19"/>
  <c r="EV6" i="19" s="1"/>
  <c r="EO6" i="19"/>
  <c r="FA6" i="19" s="1"/>
  <c r="EQ6" i="19"/>
  <c r="FO6" i="19" s="1"/>
  <c r="BH5" i="19"/>
  <c r="DT5" i="19" s="1"/>
  <c r="EF5" i="19" s="1"/>
  <c r="ER5" i="19" s="1"/>
  <c r="EU6" i="19"/>
  <c r="EM6" i="19"/>
  <c r="ET6" i="19"/>
  <c r="EL6" i="19"/>
  <c r="EK6" i="19"/>
  <c r="EN6" i="19"/>
  <c r="ES6" i="19"/>
  <c r="B40" i="80"/>
  <c r="B29" i="65"/>
  <c r="B35" i="30"/>
  <c r="B41" i="67"/>
  <c r="B29" i="78"/>
  <c r="B31" i="28"/>
  <c r="B31" i="68"/>
  <c r="AO5" i="69"/>
  <c r="AO6" i="69"/>
  <c r="FH6" i="19" l="1"/>
  <c r="FZ6" i="19"/>
  <c r="CQ6" i="19"/>
  <c r="CR6" i="19"/>
  <c r="CP6" i="19"/>
  <c r="FC6" i="19"/>
  <c r="GB6" i="19"/>
  <c r="FP6" i="19"/>
  <c r="FB6" i="19"/>
  <c r="GA6" i="19"/>
  <c r="FM6" i="19"/>
  <c r="FY6" i="19"/>
  <c r="FT6" i="19"/>
  <c r="DQ5" i="19"/>
  <c r="EC5" i="19" s="1"/>
  <c r="EO5" i="19" s="1"/>
  <c r="DW5" i="19"/>
  <c r="EI5" i="19" s="1"/>
  <c r="EU5" i="19" s="1"/>
  <c r="DP5" i="19"/>
  <c r="EB5" i="19" s="1"/>
  <c r="EN5" i="19" s="1"/>
  <c r="GZ5" i="19"/>
  <c r="GU5" i="19" s="1"/>
  <c r="GT5" i="19" s="1"/>
  <c r="HA5" i="19"/>
  <c r="GW5" i="19" s="1"/>
  <c r="GV5" i="19" s="1"/>
  <c r="CL5" i="19"/>
  <c r="CM5" i="19" s="1"/>
  <c r="CN5" i="19" s="1"/>
  <c r="DM5" i="19"/>
  <c r="DY5" i="19" s="1"/>
  <c r="EK5" i="19" s="1"/>
  <c r="DR5" i="19"/>
  <c r="ED5" i="19" s="1"/>
  <c r="EP5" i="19" s="1"/>
  <c r="DU5" i="19"/>
  <c r="EG5" i="19" s="1"/>
  <c r="ES5" i="19" s="1"/>
  <c r="DV5" i="19"/>
  <c r="EH5" i="19" s="1"/>
  <c r="ET5" i="19" s="1"/>
  <c r="DO5" i="19"/>
  <c r="EA5" i="19" s="1"/>
  <c r="EM5" i="19" s="1"/>
  <c r="DN5" i="19"/>
  <c r="DZ5" i="19" s="1"/>
  <c r="EL5" i="19" s="1"/>
  <c r="DS5" i="19"/>
  <c r="EE5" i="19" s="1"/>
  <c r="EQ5" i="19" s="1"/>
  <c r="CI5" i="19"/>
  <c r="DL5" i="19"/>
  <c r="DX5" i="19" s="1"/>
  <c r="EJ5" i="19" s="1"/>
  <c r="FD5" i="19"/>
  <c r="GB5" i="19"/>
  <c r="FP5" i="19"/>
  <c r="FX6" i="19"/>
  <c r="FL6" i="19"/>
  <c r="EZ6" i="19"/>
  <c r="FF6" i="19"/>
  <c r="GD6" i="19"/>
  <c r="FR6" i="19"/>
  <c r="FK6" i="19"/>
  <c r="EY6" i="19"/>
  <c r="FW6" i="19"/>
  <c r="EW6" i="19"/>
  <c r="FI6" i="19"/>
  <c r="FU6" i="19"/>
  <c r="GE6" i="19"/>
  <c r="FS6" i="19"/>
  <c r="FG6" i="19"/>
  <c r="EX6" i="19"/>
  <c r="FV6" i="19"/>
  <c r="FJ6" i="19"/>
  <c r="FQ6" i="19"/>
  <c r="GC6" i="19"/>
  <c r="FE6" i="19"/>
  <c r="B15" i="78"/>
  <c r="B13" i="78"/>
  <c r="B15" i="67"/>
  <c r="B13" i="67"/>
  <c r="B17" i="68"/>
  <c r="B19" i="28"/>
  <c r="B17" i="28"/>
  <c r="B15" i="65"/>
  <c r="B13" i="65"/>
  <c r="B20" i="80"/>
  <c r="B18" i="80"/>
  <c r="DK4" i="19"/>
  <c r="DJ4" i="19"/>
  <c r="DI4" i="19"/>
  <c r="DH4" i="19"/>
  <c r="DG4" i="19"/>
  <c r="DF4" i="19"/>
  <c r="DE4" i="19"/>
  <c r="DD4" i="19"/>
  <c r="DC4" i="19"/>
  <c r="DB4" i="19"/>
  <c r="DA4" i="19"/>
  <c r="CZ4" i="19"/>
  <c r="C67" i="30"/>
  <c r="C64" i="30"/>
  <c r="C53" i="30"/>
  <c r="B15" i="30"/>
  <c r="B13" i="30"/>
  <c r="A4" i="19"/>
  <c r="B4" i="19"/>
  <c r="C4" i="19"/>
  <c r="AM4" i="19" s="1"/>
  <c r="D4" i="19"/>
  <c r="E4" i="19"/>
  <c r="F4" i="19"/>
  <c r="G4" i="19"/>
  <c r="BZ4" i="19" s="1"/>
  <c r="H4" i="19"/>
  <c r="I4" i="19"/>
  <c r="BP4" i="19" s="1"/>
  <c r="J4" i="19"/>
  <c r="CD4" i="19" s="1"/>
  <c r="K4" i="19"/>
  <c r="L4" i="19"/>
  <c r="M4" i="19"/>
  <c r="CA4" i="19" s="1"/>
  <c r="N4" i="19"/>
  <c r="CB4" i="19" s="1"/>
  <c r="O4" i="19"/>
  <c r="P4" i="19"/>
  <c r="Q4" i="19"/>
  <c r="AF4" i="19"/>
  <c r="AG4" i="19"/>
  <c r="AH4" i="19"/>
  <c r="AI4" i="19"/>
  <c r="AJ4" i="19"/>
  <c r="AK4" i="19"/>
  <c r="AU4" i="19"/>
  <c r="AV4" i="19"/>
  <c r="CY5" i="81"/>
  <c r="CY6" i="81"/>
  <c r="B36" i="80"/>
  <c r="C282" i="24"/>
  <c r="FZ5" i="19" l="1"/>
  <c r="FB5" i="19"/>
  <c r="FN5" i="19"/>
  <c r="EV5" i="19"/>
  <c r="FT5" i="19"/>
  <c r="FH5" i="19"/>
  <c r="FU5" i="19"/>
  <c r="FI5" i="19"/>
  <c r="EW5" i="19"/>
  <c r="CQ5" i="19"/>
  <c r="CR5" i="19"/>
  <c r="CO5" i="19"/>
  <c r="CP5" i="19"/>
  <c r="FC5" i="19"/>
  <c r="GA5" i="19"/>
  <c r="FO5" i="19"/>
  <c r="FV5" i="19"/>
  <c r="EX5" i="19"/>
  <c r="FJ5" i="19"/>
  <c r="FK5" i="19"/>
  <c r="EY5" i="19"/>
  <c r="FW5" i="19"/>
  <c r="FL5" i="19"/>
  <c r="EZ5" i="19"/>
  <c r="FX5" i="19"/>
  <c r="FR5" i="19"/>
  <c r="FF5" i="19"/>
  <c r="GD5" i="19"/>
  <c r="FS5" i="19"/>
  <c r="FG5" i="19"/>
  <c r="GE5" i="19"/>
  <c r="FE5" i="19"/>
  <c r="GC5" i="19"/>
  <c r="FQ5" i="19"/>
  <c r="FA5" i="19"/>
  <c r="FY5" i="19"/>
  <c r="FM5" i="19"/>
  <c r="BN4" i="19"/>
  <c r="BL4" i="19"/>
  <c r="BS4" i="19"/>
  <c r="BU4" i="19"/>
  <c r="BV4" i="19"/>
  <c r="BR4" i="19"/>
  <c r="CG4" i="19"/>
  <c r="AN4" i="19"/>
  <c r="BM4" i="19"/>
  <c r="AL4" i="19"/>
  <c r="BO4" i="19"/>
  <c r="AO4" i="19"/>
  <c r="BY4" i="19" s="1"/>
  <c r="BW4" i="19" s="1"/>
  <c r="GF4" i="19" s="1"/>
  <c r="CC4" i="19"/>
  <c r="CF4" i="19"/>
  <c r="CH4" i="19"/>
  <c r="BT4" i="19"/>
  <c r="AS4" i="19" l="1"/>
  <c r="BF4" i="19" s="1"/>
  <c r="BK4" i="19"/>
  <c r="CE4" i="19"/>
  <c r="BX4" i="19" s="1"/>
  <c r="AR4" i="19"/>
  <c r="AT4" i="19"/>
  <c r="DD5" i="66" l="1"/>
  <c r="DE5" i="66"/>
  <c r="DF5" i="66"/>
  <c r="DG5" i="66"/>
  <c r="DH5" i="66"/>
  <c r="DI5" i="66"/>
  <c r="DJ5" i="66"/>
  <c r="DK5" i="66"/>
  <c r="DL5" i="66"/>
  <c r="DM5" i="66"/>
  <c r="DN5" i="66"/>
  <c r="DO5" i="66"/>
  <c r="DD6" i="66"/>
  <c r="DE6" i="66"/>
  <c r="DF6" i="66"/>
  <c r="DG6" i="66"/>
  <c r="DH6" i="66"/>
  <c r="DI6" i="66"/>
  <c r="DJ6" i="66"/>
  <c r="DK6" i="66"/>
  <c r="DL6" i="66"/>
  <c r="DM6" i="66"/>
  <c r="DN6" i="66"/>
  <c r="DO6" i="66"/>
  <c r="DE4" i="66"/>
  <c r="DF4" i="66"/>
  <c r="DG4" i="66"/>
  <c r="DH4" i="66"/>
  <c r="DI4" i="66"/>
  <c r="DJ4" i="66"/>
  <c r="DK4" i="66"/>
  <c r="DL4" i="66"/>
  <c r="DM4" i="66"/>
  <c r="DN4" i="66"/>
  <c r="DO4" i="66"/>
  <c r="DD4" i="66"/>
  <c r="BT5" i="66"/>
  <c r="BT6" i="66"/>
  <c r="BO5" i="66" l="1"/>
  <c r="BO6" i="66"/>
  <c r="C48" i="78"/>
  <c r="C59" i="67"/>
  <c r="C48" i="28"/>
  <c r="I58" i="80"/>
  <c r="C58" i="80"/>
  <c r="C47" i="65"/>
  <c r="CP5" i="66"/>
  <c r="V5" i="66" s="1"/>
  <c r="CP6" i="66"/>
  <c r="V6" i="66" s="1"/>
  <c r="DA5" i="66"/>
  <c r="AF5" i="66" s="1"/>
  <c r="DA6" i="66"/>
  <c r="AF6" i="66" s="1"/>
  <c r="C61" i="65" l="1"/>
  <c r="C60" i="28"/>
  <c r="C73" i="67"/>
  <c r="C63" i="78"/>
  <c r="J35" i="67"/>
  <c r="I37" i="67" l="1"/>
  <c r="I38" i="67" l="1"/>
  <c r="C74" i="80"/>
  <c r="C71" i="80"/>
  <c r="I74" i="80"/>
  <c r="I56" i="80"/>
  <c r="CF5" i="81" l="1"/>
  <c r="CF6" i="81"/>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4" i="15"/>
  <c r="K5" i="15"/>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K502" i="15"/>
  <c r="K503" i="15"/>
  <c r="K504" i="15"/>
  <c r="K505" i="15"/>
  <c r="K506" i="15"/>
  <c r="K507" i="15"/>
  <c r="K508" i="15"/>
  <c r="K509" i="15"/>
  <c r="K510" i="15"/>
  <c r="K511" i="15"/>
  <c r="K512" i="15"/>
  <c r="K513" i="15"/>
  <c r="K514" i="15"/>
  <c r="K515" i="15"/>
  <c r="K516" i="15"/>
  <c r="K517" i="15"/>
  <c r="K518" i="15"/>
  <c r="K519" i="15"/>
  <c r="K520" i="15"/>
  <c r="K521" i="15"/>
  <c r="K522" i="15"/>
  <c r="K523" i="15"/>
  <c r="K524" i="15"/>
  <c r="K525" i="15"/>
  <c r="K526" i="15"/>
  <c r="K527" i="15"/>
  <c r="K528" i="15"/>
  <c r="K529" i="15"/>
  <c r="K530" i="15"/>
  <c r="K531" i="15"/>
  <c r="K532" i="15"/>
  <c r="K533" i="15"/>
  <c r="K534" i="15"/>
  <c r="K535" i="15"/>
  <c r="K536" i="15"/>
  <c r="K537" i="15"/>
  <c r="K538" i="15"/>
  <c r="K539" i="15"/>
  <c r="K540" i="15"/>
  <c r="K541" i="15"/>
  <c r="K542" i="15"/>
  <c r="K543" i="15"/>
  <c r="K544" i="15"/>
  <c r="K545" i="15"/>
  <c r="K546" i="15"/>
  <c r="K547" i="15"/>
  <c r="K548" i="15"/>
  <c r="K549" i="15"/>
  <c r="K550" i="15"/>
  <c r="K551" i="15"/>
  <c r="K552" i="15"/>
  <c r="K553" i="15"/>
  <c r="K554" i="15"/>
  <c r="K555" i="15"/>
  <c r="K556" i="15"/>
  <c r="K557" i="15"/>
  <c r="K558" i="15"/>
  <c r="K559" i="15"/>
  <c r="K560" i="15"/>
  <c r="K561" i="15"/>
  <c r="K562" i="15"/>
  <c r="K563" i="15"/>
  <c r="K564" i="15"/>
  <c r="K565" i="15"/>
  <c r="K566" i="15"/>
  <c r="K567" i="15"/>
  <c r="K568" i="15"/>
  <c r="K569" i="15"/>
  <c r="K570" i="15"/>
  <c r="K571" i="15"/>
  <c r="K572" i="15"/>
  <c r="K573" i="15"/>
  <c r="K574" i="15"/>
  <c r="K575" i="15"/>
  <c r="K576" i="15"/>
  <c r="K577" i="15"/>
  <c r="K578" i="15"/>
  <c r="K579" i="15"/>
  <c r="K580" i="15"/>
  <c r="K581" i="15"/>
  <c r="K582" i="15"/>
  <c r="K583" i="15"/>
  <c r="K584" i="15"/>
  <c r="K585" i="15"/>
  <c r="K586" i="15"/>
  <c r="K587" i="15"/>
  <c r="K588" i="15"/>
  <c r="K589" i="15"/>
  <c r="K590" i="15"/>
  <c r="K591" i="15"/>
  <c r="K592" i="15"/>
  <c r="K593" i="15"/>
  <c r="K594" i="15"/>
  <c r="K595" i="15"/>
  <c r="K596" i="15"/>
  <c r="K597" i="15"/>
  <c r="K598" i="15"/>
  <c r="K599" i="15"/>
  <c r="K600" i="15"/>
  <c r="K601" i="15"/>
  <c r="K602" i="15"/>
  <c r="K603" i="15"/>
  <c r="K604" i="15"/>
  <c r="K4" i="15"/>
  <c r="BJ5" i="66" l="1"/>
  <c r="BJ6" i="66"/>
  <c r="BJ4" i="66"/>
  <c r="I178" i="14"/>
  <c r="I179" i="14"/>
  <c r="I180" i="14"/>
  <c r="I181" i="14"/>
  <c r="I182" i="14"/>
  <c r="I183" i="14"/>
  <c r="I184" i="14"/>
  <c r="I185" i="14"/>
  <c r="EC5" i="81" l="1"/>
  <c r="EC6" i="81"/>
  <c r="EC4" i="81"/>
  <c r="C149" i="14"/>
  <c r="BY5" i="21" l="1"/>
  <c r="BY6" i="21"/>
  <c r="BY4" i="21"/>
  <c r="CM5" i="21" l="1"/>
  <c r="CN5" i="21"/>
  <c r="CO5" i="21"/>
  <c r="CP5" i="21"/>
  <c r="CQ5" i="21"/>
  <c r="CR5" i="21"/>
  <c r="CS5" i="21"/>
  <c r="CT5" i="21"/>
  <c r="CU5" i="21"/>
  <c r="CV5" i="21"/>
  <c r="CW5" i="21"/>
  <c r="CX5" i="21"/>
  <c r="CM6" i="21"/>
  <c r="CN6" i="21"/>
  <c r="CO6" i="21"/>
  <c r="CP6" i="21"/>
  <c r="CQ6" i="21"/>
  <c r="CR6" i="21"/>
  <c r="CS6" i="21"/>
  <c r="CT6" i="21"/>
  <c r="CU6" i="21"/>
  <c r="CV6" i="21"/>
  <c r="CW6" i="21"/>
  <c r="CX6" i="21"/>
  <c r="CN4" i="21"/>
  <c r="CO4" i="21"/>
  <c r="CP4" i="21"/>
  <c r="CQ4" i="21"/>
  <c r="CR4" i="21"/>
  <c r="CS4" i="21"/>
  <c r="CT4" i="21"/>
  <c r="CU4" i="21"/>
  <c r="CV4" i="21"/>
  <c r="CW4" i="21"/>
  <c r="CX4" i="21"/>
  <c r="CM4" i="21"/>
  <c r="GQ5" i="23"/>
  <c r="GQ6" i="23"/>
  <c r="GF5" i="23"/>
  <c r="GG5" i="23"/>
  <c r="GH5" i="23"/>
  <c r="GI5" i="23"/>
  <c r="GJ5" i="23"/>
  <c r="GK5" i="23"/>
  <c r="GL5" i="23"/>
  <c r="GM5" i="23"/>
  <c r="GN5" i="23"/>
  <c r="GO5" i="23"/>
  <c r="GP5" i="23"/>
  <c r="GF6" i="23"/>
  <c r="GG6" i="23"/>
  <c r="GH6" i="23"/>
  <c r="GI6" i="23"/>
  <c r="GJ6" i="23"/>
  <c r="GK6" i="23"/>
  <c r="GL6" i="23"/>
  <c r="GM6" i="23"/>
  <c r="GN6" i="23"/>
  <c r="GO6" i="23"/>
  <c r="GP6" i="23"/>
  <c r="GG4" i="23"/>
  <c r="FT5" i="23"/>
  <c r="FU5" i="23"/>
  <c r="FT6" i="23"/>
  <c r="FU6" i="23"/>
  <c r="FU4" i="23"/>
  <c r="FT4" i="23"/>
  <c r="GF4" i="23"/>
  <c r="CA5" i="21"/>
  <c r="L5" i="21" s="1"/>
  <c r="CA6" i="21"/>
  <c r="L6" i="21" s="1"/>
  <c r="CZ5" i="81" l="1"/>
  <c r="CZ6" i="81"/>
  <c r="CV5" i="81"/>
  <c r="CV6" i="81"/>
  <c r="CU5" i="81"/>
  <c r="CU6" i="81"/>
  <c r="CT5" i="81"/>
  <c r="CT6" i="81"/>
  <c r="CS5" i="81"/>
  <c r="CS6" i="81"/>
  <c r="CL5" i="81"/>
  <c r="CL6" i="81"/>
  <c r="CJ5" i="81"/>
  <c r="CJ6" i="81"/>
  <c r="CH5" i="81"/>
  <c r="CH6" i="81"/>
  <c r="CG5" i="81"/>
  <c r="CG6" i="81"/>
  <c r="CC5" i="81"/>
  <c r="CC6" i="81"/>
  <c r="CB5" i="81"/>
  <c r="CB6" i="81"/>
  <c r="C268" i="24"/>
  <c r="CK6" i="81" l="1"/>
  <c r="CK5" i="81"/>
  <c r="BL5" i="21"/>
  <c r="BL6" i="21"/>
  <c r="BK5" i="21"/>
  <c r="BK6" i="21"/>
  <c r="BI5" i="21"/>
  <c r="BH5" i="21"/>
  <c r="BH6" i="21"/>
  <c r="BW5" i="23" l="1"/>
  <c r="BW6" i="23"/>
  <c r="BW4" i="23"/>
  <c r="BQ5" i="23" l="1"/>
  <c r="BQ6" i="23"/>
  <c r="BV5" i="23"/>
  <c r="BV6" i="23"/>
  <c r="GR5" i="23" l="1"/>
  <c r="GS5" i="23"/>
  <c r="GR6" i="23"/>
  <c r="GS6" i="23"/>
  <c r="BX5" i="21"/>
  <c r="BX6" i="21"/>
  <c r="BV5" i="21"/>
  <c r="BV6" i="21"/>
  <c r="BU5" i="21"/>
  <c r="BU6" i="21"/>
  <c r="I51" i="68"/>
  <c r="BT6" i="21" l="1"/>
  <c r="BT5" i="21"/>
  <c r="C224" i="24"/>
  <c r="C223" i="24"/>
  <c r="C221" i="24"/>
  <c r="D36" i="14" l="1"/>
  <c r="E32" i="14"/>
  <c r="E33" i="14"/>
  <c r="E34" i="14"/>
  <c r="E35" i="14"/>
  <c r="E36" i="14"/>
  <c r="E37" i="14"/>
  <c r="E38" i="14"/>
  <c r="E31" i="14"/>
  <c r="D32" i="14"/>
  <c r="D33" i="14"/>
  <c r="D34" i="14"/>
  <c r="D35" i="14"/>
  <c r="D37" i="14"/>
  <c r="D38" i="14"/>
  <c r="D31" i="14"/>
  <c r="B26" i="68" l="1"/>
  <c r="I49" i="68"/>
  <c r="I48" i="68"/>
  <c r="F48" i="68"/>
  <c r="F49" i="68"/>
  <c r="HX5" i="81" l="1"/>
  <c r="HY5" i="81"/>
  <c r="HX6" i="81"/>
  <c r="HY6" i="81"/>
  <c r="AZ5" i="81"/>
  <c r="BA5" i="81"/>
  <c r="BB5" i="81"/>
  <c r="AZ6" i="81"/>
  <c r="BA6" i="81"/>
  <c r="BB6" i="81"/>
  <c r="BA4" i="81"/>
  <c r="BB4" i="81"/>
  <c r="AZ4" i="81"/>
  <c r="AW5" i="66"/>
  <c r="AX5" i="66"/>
  <c r="AW6" i="66"/>
  <c r="AX6" i="66"/>
  <c r="AX4" i="66"/>
  <c r="AW4" i="66"/>
  <c r="AS5" i="79"/>
  <c r="AT5" i="79"/>
  <c r="AU5" i="79"/>
  <c r="AS6" i="79"/>
  <c r="AT6" i="79"/>
  <c r="AU6" i="79"/>
  <c r="AT4" i="79"/>
  <c r="AU4" i="79"/>
  <c r="AS4" i="79"/>
  <c r="AO5" i="21"/>
  <c r="AP5" i="21"/>
  <c r="AO6" i="21"/>
  <c r="AP6" i="21"/>
  <c r="AP4" i="21"/>
  <c r="AO4" i="21"/>
  <c r="AM5" i="23"/>
  <c r="AN5" i="23"/>
  <c r="AM6" i="23"/>
  <c r="AN6" i="23"/>
  <c r="AN4" i="23"/>
  <c r="AM4" i="23"/>
  <c r="S10" i="14" l="1"/>
  <c r="S11" i="14"/>
  <c r="S12" i="14"/>
  <c r="S13" i="14"/>
  <c r="S14" i="14"/>
  <c r="S15" i="14"/>
  <c r="S16" i="14"/>
  <c r="S9" i="14"/>
  <c r="AU5" i="69" l="1"/>
  <c r="BS5" i="69" s="1"/>
  <c r="AU6" i="69"/>
  <c r="BS6" i="69" s="1"/>
  <c r="BT5" i="79"/>
  <c r="BT6" i="79"/>
  <c r="BL5" i="79"/>
  <c r="BL6" i="79"/>
  <c r="AM5" i="79"/>
  <c r="AM6" i="79"/>
  <c r="BJ6" i="79" l="1"/>
  <c r="AN6" i="79"/>
  <c r="BI6" i="79" s="1"/>
  <c r="BJ5" i="79"/>
  <c r="AN5" i="79"/>
  <c r="BQ5" i="79" s="1"/>
  <c r="BK6" i="69"/>
  <c r="BL6" i="69"/>
  <c r="BM6" i="69"/>
  <c r="AV6" i="69"/>
  <c r="K6" i="69" s="1"/>
  <c r="BN6" i="69"/>
  <c r="BO6" i="69"/>
  <c r="BH6" i="69"/>
  <c r="BP6" i="69"/>
  <c r="BI6" i="69"/>
  <c r="BQ6" i="69"/>
  <c r="BJ6" i="69"/>
  <c r="BR6" i="69"/>
  <c r="BN5" i="69"/>
  <c r="BO5" i="69"/>
  <c r="AV5" i="69"/>
  <c r="K5" i="69" s="1"/>
  <c r="BH5" i="69"/>
  <c r="BP5" i="69"/>
  <c r="BI5" i="69"/>
  <c r="BQ5" i="69"/>
  <c r="BJ5" i="69"/>
  <c r="BR5" i="69"/>
  <c r="BK5" i="69"/>
  <c r="BL5" i="69"/>
  <c r="BM5" i="69"/>
  <c r="BR6" i="79"/>
  <c r="BR5" i="79"/>
  <c r="B28" i="80"/>
  <c r="B27" i="80"/>
  <c r="BQ6" i="79" l="1"/>
  <c r="BI5" i="79"/>
  <c r="BK5" i="66"/>
  <c r="BK6" i="66"/>
  <c r="BK4" i="66"/>
  <c r="B4" i="79" l="1"/>
  <c r="A4" i="79"/>
  <c r="BU4" i="79" s="1"/>
  <c r="B4" i="66"/>
  <c r="DA4" i="66" s="1"/>
  <c r="AF4" i="66" s="1"/>
  <c r="A4" i="66"/>
  <c r="CP4" i="66" s="1"/>
  <c r="V4" i="66" s="1"/>
  <c r="CA5" i="66" l="1"/>
  <c r="CM5" i="66" s="1"/>
  <c r="CA6" i="66"/>
  <c r="CM6" i="66" s="1"/>
  <c r="Q4" i="66"/>
  <c r="O4" i="66"/>
  <c r="E4" i="66"/>
  <c r="BW5" i="66"/>
  <c r="CI5" i="66" s="1"/>
  <c r="BX5" i="66"/>
  <c r="CJ5" i="66" s="1"/>
  <c r="BY5" i="66"/>
  <c r="CK5" i="66" s="1"/>
  <c r="CL5" i="66"/>
  <c r="CB5" i="66"/>
  <c r="CN5" i="66" s="1"/>
  <c r="CC5" i="66"/>
  <c r="CD5" i="66"/>
  <c r="CE5" i="66"/>
  <c r="CG5" i="66"/>
  <c r="CF5" i="66"/>
  <c r="CH5" i="66"/>
  <c r="BW6" i="66"/>
  <c r="CI6" i="66" s="1"/>
  <c r="BX6" i="66"/>
  <c r="CJ6" i="66" s="1"/>
  <c r="BY6" i="66"/>
  <c r="CK6" i="66" s="1"/>
  <c r="CL6" i="66"/>
  <c r="CB6" i="66"/>
  <c r="CN6" i="66" s="1"/>
  <c r="CC6" i="66"/>
  <c r="CD6" i="66"/>
  <c r="CE6" i="66"/>
  <c r="CG6" i="66"/>
  <c r="CF6" i="66"/>
  <c r="CH6" i="66"/>
  <c r="CG4" i="66"/>
  <c r="CF4" i="66"/>
  <c r="CH4" i="66"/>
  <c r="CE4" i="66"/>
  <c r="CD4" i="66"/>
  <c r="CC4" i="66"/>
  <c r="P4" i="66"/>
  <c r="R4" i="66"/>
  <c r="BU5" i="66"/>
  <c r="BU6" i="66"/>
  <c r="BS5" i="66"/>
  <c r="BS6" i="66"/>
  <c r="BV6" i="66" l="1"/>
  <c r="DC6" i="66" s="1"/>
  <c r="AI6" i="66" s="1"/>
  <c r="BV5" i="66"/>
  <c r="DC5" i="66" s="1"/>
  <c r="AI5" i="66" s="1"/>
  <c r="BR5" i="66"/>
  <c r="BR6" i="66"/>
  <c r="GU5" i="66" l="1"/>
  <c r="GU6" i="66"/>
  <c r="CZ6" i="66"/>
  <c r="AG6" i="66" s="1"/>
  <c r="CZ5" i="66"/>
  <c r="AG5" i="66" s="1"/>
  <c r="B35" i="80" l="1"/>
  <c r="B34" i="80"/>
  <c r="B33" i="80"/>
  <c r="B29" i="80"/>
  <c r="B30" i="80"/>
  <c r="DO5" i="81"/>
  <c r="AF5" i="81" s="1"/>
  <c r="DO6" i="81"/>
  <c r="AF6" i="81" s="1"/>
  <c r="DR5" i="81" l="1"/>
  <c r="DS5" i="81"/>
  <c r="DT5" i="81"/>
  <c r="DU5" i="81"/>
  <c r="DV5" i="81"/>
  <c r="DW5" i="81"/>
  <c r="DX5" i="81"/>
  <c r="DY5" i="81"/>
  <c r="DZ5" i="81"/>
  <c r="EA5" i="81"/>
  <c r="EB5" i="81"/>
  <c r="DR6" i="81"/>
  <c r="DS6" i="81"/>
  <c r="DT6" i="81"/>
  <c r="DU6" i="81"/>
  <c r="DV6" i="81"/>
  <c r="DW6" i="81"/>
  <c r="DX6" i="81"/>
  <c r="DY6" i="81"/>
  <c r="DZ6" i="81"/>
  <c r="EA6" i="81"/>
  <c r="EB6" i="81"/>
  <c r="DS4" i="81"/>
  <c r="DT4" i="81"/>
  <c r="DU4" i="81"/>
  <c r="DV4" i="81"/>
  <c r="DW4" i="81"/>
  <c r="DX4" i="81"/>
  <c r="DY4" i="81"/>
  <c r="DZ4" i="81"/>
  <c r="EA4" i="81"/>
  <c r="EB4" i="81"/>
  <c r="DR4" i="81"/>
  <c r="DB6" i="81"/>
  <c r="T6" i="81" s="1"/>
  <c r="C70" i="80"/>
  <c r="M4" i="81" l="1"/>
  <c r="CS4" i="81" l="1"/>
  <c r="CB4" i="81"/>
  <c r="C4" i="81"/>
  <c r="CD5" i="81"/>
  <c r="CD6" i="81"/>
  <c r="AU5" i="81"/>
  <c r="AU6" i="81"/>
  <c r="AP4" i="81"/>
  <c r="AO4" i="81"/>
  <c r="AL4" i="81"/>
  <c r="AN4" i="81"/>
  <c r="AM4" i="81"/>
  <c r="AK4" i="81"/>
  <c r="AJ4" i="81"/>
  <c r="B4" i="81"/>
  <c r="DO4" i="81" s="1"/>
  <c r="AF4" i="81" s="1"/>
  <c r="A4" i="81"/>
  <c r="DB4" i="81" s="1"/>
  <c r="T4" i="81" s="1"/>
  <c r="O4" i="81"/>
  <c r="N4" i="81"/>
  <c r="L4" i="81"/>
  <c r="J4" i="81"/>
  <c r="K4" i="81"/>
  <c r="I4" i="81"/>
  <c r="F4" i="81"/>
  <c r="G4" i="81"/>
  <c r="H4" i="81"/>
  <c r="CL4" i="81" s="1"/>
  <c r="E4" i="81"/>
  <c r="CH4" i="81" s="1"/>
  <c r="D4" i="81"/>
  <c r="AU4" i="81" s="1"/>
  <c r="R4" i="81"/>
  <c r="S4" i="81"/>
  <c r="Q4" i="81"/>
  <c r="P4" i="81"/>
  <c r="AT6" i="81"/>
  <c r="CR6" i="81" s="1"/>
  <c r="AS6" i="81"/>
  <c r="CI6" i="81" s="1"/>
  <c r="AR6" i="81"/>
  <c r="AQ6" i="81"/>
  <c r="AX6" i="81" s="1"/>
  <c r="AT5" i="81"/>
  <c r="AS5" i="81"/>
  <c r="CI5" i="81" s="1"/>
  <c r="AR5" i="81"/>
  <c r="AQ5" i="81"/>
  <c r="AX5" i="81" s="1"/>
  <c r="CY4" i="81" l="1"/>
  <c r="CK4" i="81"/>
  <c r="AW5" i="81"/>
  <c r="AY5" i="81"/>
  <c r="BE5" i="81" s="1"/>
  <c r="AW6" i="81"/>
  <c r="AY6" i="81"/>
  <c r="BE6" i="81" s="1"/>
  <c r="CF4" i="81"/>
  <c r="CJ4" i="81"/>
  <c r="CZ4" i="81"/>
  <c r="CC4" i="81"/>
  <c r="CV4" i="81"/>
  <c r="CU4" i="81"/>
  <c r="CG4" i="81"/>
  <c r="CT4" i="81"/>
  <c r="CD4" i="81"/>
  <c r="CW6" i="81"/>
  <c r="CX6" i="81"/>
  <c r="CO6" i="81" s="1"/>
  <c r="CW5" i="81"/>
  <c r="CX5" i="81"/>
  <c r="CO5" i="81" s="1"/>
  <c r="CW4" i="81"/>
  <c r="CX4" i="81"/>
  <c r="CR5" i="81"/>
  <c r="CQ5" i="81" s="1"/>
  <c r="CN5" i="81" s="1"/>
  <c r="CE5" i="81"/>
  <c r="BW5" i="81" s="1"/>
  <c r="CA5" i="81"/>
  <c r="BY5" i="81" s="1"/>
  <c r="CE6" i="81"/>
  <c r="BW6" i="81" s="1"/>
  <c r="CA6" i="81"/>
  <c r="BY6" i="81" s="1"/>
  <c r="CQ6" i="81"/>
  <c r="CN6" i="81" s="1"/>
  <c r="CM6" i="81" s="1"/>
  <c r="DP6" i="81" s="1"/>
  <c r="HY4" i="81"/>
  <c r="HX4" i="81"/>
  <c r="BD5" i="81"/>
  <c r="BD6" i="81"/>
  <c r="AV5" i="81"/>
  <c r="AV6" i="81"/>
  <c r="AT4" i="81"/>
  <c r="AS4" i="81"/>
  <c r="CI4" i="81" s="1"/>
  <c r="AR4" i="81"/>
  <c r="AQ4" i="81"/>
  <c r="AX4" i="81" s="1"/>
  <c r="CE4" i="81" l="1"/>
  <c r="BW4" i="81" s="1"/>
  <c r="AY4" i="81"/>
  <c r="BE4" i="81" s="1"/>
  <c r="AW4" i="81"/>
  <c r="BZ5" i="81"/>
  <c r="BU5" i="81" s="1"/>
  <c r="BP5" i="81" s="1"/>
  <c r="BZ6" i="81"/>
  <c r="BU6" i="81" s="1"/>
  <c r="CR4" i="81"/>
  <c r="CQ4" i="81" s="1"/>
  <c r="CP4" i="81" s="1"/>
  <c r="CA4" i="81"/>
  <c r="BY4" i="81" s="1"/>
  <c r="CO4" i="81"/>
  <c r="AV4" i="81"/>
  <c r="BD4" i="81"/>
  <c r="CP6" i="81"/>
  <c r="IA6" i="81" s="1"/>
  <c r="CP5" i="81"/>
  <c r="CM5" i="81" s="1"/>
  <c r="BC6" i="81"/>
  <c r="BF6" i="81" s="1"/>
  <c r="BC5" i="81"/>
  <c r="BF5" i="81" s="1"/>
  <c r="DP5" i="81" l="1"/>
  <c r="DQ5" i="81" s="1"/>
  <c r="AI5" i="81" s="1"/>
  <c r="HI5" i="81"/>
  <c r="HC5" i="81"/>
  <c r="DN5" i="81"/>
  <c r="AG5" i="81" s="1"/>
  <c r="IA5" i="81"/>
  <c r="HW5" i="81" s="1"/>
  <c r="HV5" i="81" s="1"/>
  <c r="HG5" i="81"/>
  <c r="HB5" i="81"/>
  <c r="HZ5" i="81"/>
  <c r="HU5" i="81" s="1"/>
  <c r="HT5" i="81" s="1"/>
  <c r="HE5" i="81"/>
  <c r="HA5" i="81"/>
  <c r="HH5" i="81"/>
  <c r="GX5" i="81"/>
  <c r="GY5" i="81"/>
  <c r="HF5" i="81"/>
  <c r="GZ5" i="81"/>
  <c r="HD5" i="81"/>
  <c r="BS4" i="81"/>
  <c r="BP6" i="81"/>
  <c r="HZ6" i="81"/>
  <c r="HU6" i="81" s="1"/>
  <c r="HT6" i="81" s="1"/>
  <c r="HF6" i="81"/>
  <c r="HH6" i="81"/>
  <c r="GX6" i="81"/>
  <c r="HB6" i="81"/>
  <c r="HI6" i="81"/>
  <c r="GZ6" i="81"/>
  <c r="HE6" i="81"/>
  <c r="GY6" i="81"/>
  <c r="HG6" i="81"/>
  <c r="HC6" i="81"/>
  <c r="HA6" i="81"/>
  <c r="HD6" i="81"/>
  <c r="DN6" i="81"/>
  <c r="AG6" i="81" s="1"/>
  <c r="HW6" i="81"/>
  <c r="HV6" i="81" s="1"/>
  <c r="BZ4" i="81"/>
  <c r="BU4" i="81" s="1"/>
  <c r="CN4" i="81"/>
  <c r="CM4" i="81" s="1"/>
  <c r="BC4" i="81"/>
  <c r="BF4" i="81" s="1"/>
  <c r="AH5" i="81" l="1"/>
  <c r="HI4" i="81"/>
  <c r="DP4" i="81"/>
  <c r="DQ6" i="81"/>
  <c r="AI6" i="81" s="1"/>
  <c r="AH6" i="81"/>
  <c r="BP4" i="81"/>
  <c r="DN4" i="81"/>
  <c r="AG4" i="81" s="1"/>
  <c r="G69" i="80" s="1"/>
  <c r="GX4" i="81"/>
  <c r="HF4" i="81"/>
  <c r="HC4" i="81"/>
  <c r="HB4" i="81"/>
  <c r="HH4" i="81"/>
  <c r="GZ4" i="81"/>
  <c r="HG4" i="81"/>
  <c r="HD4" i="81"/>
  <c r="HA4" i="81"/>
  <c r="GY4" i="81"/>
  <c r="HE4" i="81"/>
  <c r="DQ4" i="81" l="1"/>
  <c r="AH4" i="81"/>
  <c r="HZ4" i="81"/>
  <c r="IA4" i="81"/>
  <c r="HU4" i="81" l="1"/>
  <c r="G94" i="80"/>
  <c r="HW4" i="81"/>
  <c r="G97" i="80"/>
  <c r="AI4" i="81"/>
  <c r="G74" i="80" s="1"/>
  <c r="G71" i="80"/>
  <c r="G98" i="80"/>
  <c r="HV4" i="81" l="1"/>
  <c r="G99" i="80" s="1"/>
  <c r="HT4" i="81"/>
  <c r="G96" i="80" s="1"/>
  <c r="G95" i="80"/>
  <c r="L28" i="17"/>
  <c r="L29" i="17"/>
  <c r="L30" i="17"/>
  <c r="L31" i="17"/>
  <c r="L32" i="17"/>
  <c r="L33" i="17"/>
  <c r="L34" i="17"/>
  <c r="L27" i="17"/>
  <c r="G28" i="17"/>
  <c r="G29" i="17"/>
  <c r="G30" i="17"/>
  <c r="G31" i="17"/>
  <c r="G32" i="17"/>
  <c r="G33" i="17"/>
  <c r="G34" i="17"/>
  <c r="G27" i="17"/>
  <c r="BI4" i="81" l="1"/>
  <c r="BM4" i="81"/>
  <c r="BI5" i="81"/>
  <c r="BM5" i="81"/>
  <c r="BI6" i="81"/>
  <c r="BM6" i="81"/>
  <c r="CF5" i="79"/>
  <c r="X5" i="79" s="1"/>
  <c r="CF6" i="79"/>
  <c r="X6" i="79" s="1"/>
  <c r="M5" i="79" l="1"/>
  <c r="M6" i="79"/>
  <c r="O98" i="14" l="1"/>
  <c r="C60" i="78"/>
  <c r="AH4" i="79" l="1"/>
  <c r="AG4" i="79"/>
  <c r="AF4" i="79"/>
  <c r="AE4" i="79"/>
  <c r="AC4" i="79"/>
  <c r="AB4" i="79"/>
  <c r="AD4" i="79"/>
  <c r="K4" i="79"/>
  <c r="L4" i="79"/>
  <c r="J4" i="79"/>
  <c r="I4" i="79"/>
  <c r="H4" i="79"/>
  <c r="G4" i="79"/>
  <c r="F4" i="79"/>
  <c r="E4" i="79"/>
  <c r="D4" i="79"/>
  <c r="C4" i="79"/>
  <c r="AI4" i="79" s="1"/>
  <c r="J23" i="67"/>
  <c r="J26" i="68"/>
  <c r="I52" i="68"/>
  <c r="F52" i="68"/>
  <c r="F51" i="68"/>
  <c r="I4" i="66"/>
  <c r="AL6" i="79"/>
  <c r="AK6" i="79"/>
  <c r="AJ6" i="79"/>
  <c r="AI6" i="79"/>
  <c r="AL5" i="79"/>
  <c r="AK5" i="79"/>
  <c r="AJ5" i="79"/>
  <c r="AI5" i="79"/>
  <c r="CF4" i="79"/>
  <c r="X4" i="79" s="1"/>
  <c r="M4" i="79"/>
  <c r="D61" i="78"/>
  <c r="C59" i="78"/>
  <c r="AZ5" i="79" l="1"/>
  <c r="BA5" i="79"/>
  <c r="BB5" i="79"/>
  <c r="BC5" i="79"/>
  <c r="BF5" i="79"/>
  <c r="BG5" i="79"/>
  <c r="BD5" i="79"/>
  <c r="BE5" i="79"/>
  <c r="AZ6" i="79"/>
  <c r="BA6" i="79"/>
  <c r="BB6" i="79"/>
  <c r="BC6" i="79"/>
  <c r="BF6" i="79"/>
  <c r="BG6" i="79"/>
  <c r="BD6" i="79"/>
  <c r="BE6" i="79"/>
  <c r="AZ4" i="79"/>
  <c r="BA4" i="79"/>
  <c r="BE4" i="79"/>
  <c r="BB4" i="79"/>
  <c r="BC4" i="79"/>
  <c r="BD4" i="79"/>
  <c r="BG4" i="79"/>
  <c r="BF4" i="79"/>
  <c r="BN5" i="79"/>
  <c r="BO5" i="79"/>
  <c r="BN6" i="79"/>
  <c r="BO6" i="79"/>
  <c r="BN4" i="79"/>
  <c r="BO4" i="79"/>
  <c r="N4" i="79" s="1"/>
  <c r="AP6" i="79"/>
  <c r="AO6" i="79"/>
  <c r="AQ6" i="79"/>
  <c r="AW6" i="79" s="1"/>
  <c r="AR6" i="79"/>
  <c r="AX6" i="79" s="1"/>
  <c r="AO5" i="79"/>
  <c r="AP5" i="79"/>
  <c r="AQ5" i="79"/>
  <c r="AW5" i="79" s="1"/>
  <c r="AR5" i="79"/>
  <c r="AX5" i="79" s="1"/>
  <c r="AP4" i="79"/>
  <c r="AQ4" i="79"/>
  <c r="AR4" i="79"/>
  <c r="AO4" i="79"/>
  <c r="BL4" i="79"/>
  <c r="BT4" i="79"/>
  <c r="AM4" i="79"/>
  <c r="BK6" i="79"/>
  <c r="BS6" i="79"/>
  <c r="BK5" i="79"/>
  <c r="BS5" i="79"/>
  <c r="BM4" i="79"/>
  <c r="BM6" i="79"/>
  <c r="BM5" i="79"/>
  <c r="AK4" i="79"/>
  <c r="AJ4" i="79"/>
  <c r="AL4" i="79"/>
  <c r="C40" i="24"/>
  <c r="D40" i="24"/>
  <c r="C43" i="24"/>
  <c r="D43" i="24"/>
  <c r="C46" i="24"/>
  <c r="D46" i="24"/>
  <c r="E46" i="24"/>
  <c r="C49" i="24"/>
  <c r="D49" i="24"/>
  <c r="E49" i="24"/>
  <c r="C52" i="24"/>
  <c r="D52" i="24"/>
  <c r="E52" i="24"/>
  <c r="BH5" i="79" l="1"/>
  <c r="N5" i="79" s="1"/>
  <c r="Z4" i="79"/>
  <c r="AA4" i="79"/>
  <c r="W4" i="79"/>
  <c r="Y4" i="79"/>
  <c r="U4" i="79"/>
  <c r="V4" i="79"/>
  <c r="S4" i="79"/>
  <c r="T4" i="79"/>
  <c r="Q4" i="79"/>
  <c r="R4" i="79"/>
  <c r="O4" i="79"/>
  <c r="P4" i="79"/>
  <c r="BH6" i="79"/>
  <c r="BV6" i="79" s="1"/>
  <c r="O6" i="79" s="1"/>
  <c r="BV5" i="79"/>
  <c r="BW5" i="79" s="1"/>
  <c r="P5" i="79" s="1"/>
  <c r="AN4" i="79"/>
  <c r="BQ4" i="79" s="1"/>
  <c r="BJ4" i="79"/>
  <c r="AV4" i="79"/>
  <c r="AX4" i="79"/>
  <c r="AW4" i="79"/>
  <c r="AV5" i="79"/>
  <c r="AY5" i="79" s="1"/>
  <c r="AV6" i="79"/>
  <c r="AY6" i="79" s="1"/>
  <c r="BR4" i="79"/>
  <c r="BK4" i="79"/>
  <c r="BS4" i="79"/>
  <c r="BP5" i="79"/>
  <c r="Y5" i="79" s="1"/>
  <c r="O5" i="79" l="1"/>
  <c r="N6" i="79"/>
  <c r="CG5" i="79"/>
  <c r="GA5" i="79"/>
  <c r="GI5" i="79"/>
  <c r="GB5" i="79"/>
  <c r="GJ5" i="79"/>
  <c r="GC5" i="79"/>
  <c r="GK5" i="79"/>
  <c r="GD5" i="79"/>
  <c r="GL5" i="79"/>
  <c r="GE5" i="79"/>
  <c r="GF5" i="79"/>
  <c r="GG5" i="79"/>
  <c r="GH5" i="79"/>
  <c r="BI4" i="79"/>
  <c r="BH4" i="79" s="1"/>
  <c r="BV4" i="79" s="1"/>
  <c r="DF5" i="79"/>
  <c r="DR5" i="79" s="1"/>
  <c r="ED5" i="79" s="1"/>
  <c r="AY4" i="79"/>
  <c r="BX5" i="79"/>
  <c r="BY5" i="79" s="1"/>
  <c r="Q5" i="79" s="1"/>
  <c r="DD5" i="79"/>
  <c r="DP5" i="79" s="1"/>
  <c r="EZ5" i="79" s="1"/>
  <c r="GS5" i="79"/>
  <c r="GP5" i="79" s="1"/>
  <c r="GO5" i="79" s="1"/>
  <c r="GT5" i="79"/>
  <c r="GR5" i="79" s="1"/>
  <c r="GQ5" i="79" s="1"/>
  <c r="GZ5" i="79"/>
  <c r="GX5" i="79" s="1"/>
  <c r="GW5" i="79" s="1"/>
  <c r="GY5" i="79"/>
  <c r="GV5" i="79" s="1"/>
  <c r="GU5" i="79" s="1"/>
  <c r="BP4" i="79"/>
  <c r="CW5" i="79"/>
  <c r="DI5" i="79" s="1"/>
  <c r="ES5" i="79" s="1"/>
  <c r="DC5" i="79"/>
  <c r="DO5" i="79" s="1"/>
  <c r="EY5" i="79" s="1"/>
  <c r="DA5" i="79"/>
  <c r="DM5" i="79" s="1"/>
  <c r="EW5" i="79" s="1"/>
  <c r="CV5" i="79"/>
  <c r="DH5" i="79" s="1"/>
  <c r="ER5" i="79" s="1"/>
  <c r="DB5" i="79"/>
  <c r="DN5" i="79" s="1"/>
  <c r="EX5" i="79" s="1"/>
  <c r="DE5" i="79"/>
  <c r="DQ5" i="79" s="1"/>
  <c r="FA5" i="79" s="1"/>
  <c r="CY5" i="79"/>
  <c r="DK5" i="79" s="1"/>
  <c r="EU5" i="79" s="1"/>
  <c r="CZ5" i="79"/>
  <c r="DL5" i="79" s="1"/>
  <c r="EV5" i="79" s="1"/>
  <c r="CX5" i="79"/>
  <c r="DJ5" i="79" s="1"/>
  <c r="ET5" i="79" s="1"/>
  <c r="CU5" i="79"/>
  <c r="DG5" i="79" s="1"/>
  <c r="EQ5" i="79" s="1"/>
  <c r="BP6" i="79"/>
  <c r="Y6" i="79" s="1"/>
  <c r="BW6" i="79"/>
  <c r="P6" i="79" s="1"/>
  <c r="CH5" i="79" l="1"/>
  <c r="AA5" i="79" s="1"/>
  <c r="Z5" i="79"/>
  <c r="CG6" i="79"/>
  <c r="GE6" i="79"/>
  <c r="GF6" i="79"/>
  <c r="GG6" i="79"/>
  <c r="GH6" i="79"/>
  <c r="GA6" i="79"/>
  <c r="GI6" i="79"/>
  <c r="GL6" i="79"/>
  <c r="GB6" i="79"/>
  <c r="GJ6" i="79"/>
  <c r="GD6" i="79"/>
  <c r="GC6" i="79"/>
  <c r="GK6" i="79"/>
  <c r="GB4" i="79"/>
  <c r="GJ4" i="79"/>
  <c r="GC4" i="79"/>
  <c r="GK4" i="79"/>
  <c r="GD4" i="79"/>
  <c r="GL4" i="79"/>
  <c r="GE4" i="79"/>
  <c r="GF4" i="79"/>
  <c r="GG4" i="79"/>
  <c r="GI4" i="79"/>
  <c r="GH4" i="79"/>
  <c r="CG4" i="79"/>
  <c r="CH4" i="79" s="1"/>
  <c r="G63" i="78" s="1"/>
  <c r="GA4" i="79"/>
  <c r="FN5" i="79"/>
  <c r="FB5" i="79"/>
  <c r="EP5" i="79"/>
  <c r="DF6" i="79"/>
  <c r="DR6" i="79" s="1"/>
  <c r="ED6" i="79" s="1"/>
  <c r="DF4" i="79"/>
  <c r="DR4" i="79" s="1"/>
  <c r="BW4" i="79"/>
  <c r="G46" i="78" s="1"/>
  <c r="GS6" i="79"/>
  <c r="GP6" i="79" s="1"/>
  <c r="GO6" i="79" s="1"/>
  <c r="GS4" i="79"/>
  <c r="GP4" i="79" s="1"/>
  <c r="GO4" i="79" s="1"/>
  <c r="G36" i="78"/>
  <c r="GT6" i="79"/>
  <c r="GR6" i="79" s="1"/>
  <c r="GQ6" i="79" s="1"/>
  <c r="GT4" i="79"/>
  <c r="GR4" i="79" s="1"/>
  <c r="GQ4" i="79" s="1"/>
  <c r="CC5" i="79"/>
  <c r="W5" i="79" s="1"/>
  <c r="CB5" i="79"/>
  <c r="V5" i="79" s="1"/>
  <c r="BZ5" i="79"/>
  <c r="T5" i="79" s="1"/>
  <c r="CA5" i="79"/>
  <c r="U5" i="79" s="1"/>
  <c r="GY6" i="79"/>
  <c r="GZ6" i="79"/>
  <c r="GX6" i="79" s="1"/>
  <c r="GW6" i="79" s="1"/>
  <c r="GZ4" i="79"/>
  <c r="GY4" i="79"/>
  <c r="G84" i="78" s="1"/>
  <c r="CZ6" i="79"/>
  <c r="DB6" i="79"/>
  <c r="DD6" i="79"/>
  <c r="CW6" i="79"/>
  <c r="DE6" i="79"/>
  <c r="DA6" i="79"/>
  <c r="CU6" i="79"/>
  <c r="DC6" i="79"/>
  <c r="CV6" i="79"/>
  <c r="CX6" i="79"/>
  <c r="CY6" i="79"/>
  <c r="CU4" i="79"/>
  <c r="DG4" i="79" s="1"/>
  <c r="EQ4" i="79" s="1"/>
  <c r="CV4" i="79"/>
  <c r="DH4" i="79" s="1"/>
  <c r="ER4" i="79" s="1"/>
  <c r="DD4" i="79"/>
  <c r="DP4" i="79" s="1"/>
  <c r="EZ4" i="79" s="1"/>
  <c r="CW4" i="79"/>
  <c r="DI4" i="79" s="1"/>
  <c r="ES4" i="79" s="1"/>
  <c r="DE4" i="79"/>
  <c r="DQ4" i="79" s="1"/>
  <c r="FA4" i="79" s="1"/>
  <c r="CX4" i="79"/>
  <c r="CY4" i="79"/>
  <c r="DA4" i="79"/>
  <c r="CZ4" i="79"/>
  <c r="DL4" i="79" s="1"/>
  <c r="EV4" i="79" s="1"/>
  <c r="DB4" i="79"/>
  <c r="DC4" i="79"/>
  <c r="DO4" i="79" s="1"/>
  <c r="EY4" i="79" s="1"/>
  <c r="FC5" i="79"/>
  <c r="DS5" i="79"/>
  <c r="EE5" i="79"/>
  <c r="EM5" i="79"/>
  <c r="FK5" i="79"/>
  <c r="EA5" i="79"/>
  <c r="EJ5" i="79"/>
  <c r="DX5" i="79"/>
  <c r="FH5" i="79"/>
  <c r="FL5" i="79"/>
  <c r="EB5" i="79"/>
  <c r="EN5" i="79"/>
  <c r="EH5" i="79"/>
  <c r="FF5" i="79"/>
  <c r="DV5" i="79"/>
  <c r="EI5" i="79"/>
  <c r="FG5" i="79"/>
  <c r="DW5" i="79"/>
  <c r="FM5" i="79"/>
  <c r="EC5" i="79"/>
  <c r="EO5" i="79"/>
  <c r="DY5" i="79"/>
  <c r="FI5" i="79"/>
  <c r="EK5" i="79"/>
  <c r="FD5" i="79"/>
  <c r="DT5" i="79"/>
  <c r="EF5" i="79"/>
  <c r="DZ5" i="79"/>
  <c r="EL5" i="79"/>
  <c r="FJ5" i="79"/>
  <c r="FE5" i="79"/>
  <c r="EG5" i="79"/>
  <c r="DU5" i="79"/>
  <c r="CH6" i="79" l="1"/>
  <c r="AA6" i="79" s="1"/>
  <c r="Z6" i="79"/>
  <c r="FN6" i="79"/>
  <c r="FB6" i="79"/>
  <c r="EP6" i="79"/>
  <c r="FB4" i="79"/>
  <c r="FN4" i="79"/>
  <c r="ED4" i="79"/>
  <c r="EP4" i="79"/>
  <c r="GX4" i="79"/>
  <c r="G87" i="78"/>
  <c r="G77" i="78"/>
  <c r="G74" i="78"/>
  <c r="BX6" i="79"/>
  <c r="BX4" i="79"/>
  <c r="BY4" i="79" s="1"/>
  <c r="G48" i="78" s="1"/>
  <c r="G58" i="78"/>
  <c r="DM6" i="79"/>
  <c r="EW6" i="79" s="1"/>
  <c r="DQ6" i="79"/>
  <c r="DJ6" i="79"/>
  <c r="ET6" i="79" s="1"/>
  <c r="DN6" i="79"/>
  <c r="EX6" i="79" s="1"/>
  <c r="DK6" i="79"/>
  <c r="EU6" i="79" s="1"/>
  <c r="DH6" i="79"/>
  <c r="DL6" i="79"/>
  <c r="DO6" i="79"/>
  <c r="EY6" i="79" s="1"/>
  <c r="DI6" i="79"/>
  <c r="DP6" i="79"/>
  <c r="EZ6" i="79" s="1"/>
  <c r="DG6" i="79"/>
  <c r="EQ6" i="79" s="1"/>
  <c r="DM4" i="79"/>
  <c r="DK4" i="79"/>
  <c r="DJ4" i="79"/>
  <c r="DN4" i="79"/>
  <c r="EX4" i="79" s="1"/>
  <c r="GV6" i="79"/>
  <c r="GU6" i="79" s="1"/>
  <c r="GV4" i="79"/>
  <c r="FE4" i="79"/>
  <c r="EB4" i="79"/>
  <c r="FM4" i="79"/>
  <c r="DX4" i="79"/>
  <c r="FD4" i="79"/>
  <c r="EA4" i="79"/>
  <c r="FC4" i="79"/>
  <c r="EC4" i="79"/>
  <c r="FH4" i="79"/>
  <c r="FL4" i="79"/>
  <c r="EJ4" i="79"/>
  <c r="EO4" i="79"/>
  <c r="EE4" i="79"/>
  <c r="DS4" i="79"/>
  <c r="DU4" i="79"/>
  <c r="EG4" i="79"/>
  <c r="EM4" i="79"/>
  <c r="FK4" i="79"/>
  <c r="EN4" i="79"/>
  <c r="EF4" i="79"/>
  <c r="DT4" i="79"/>
  <c r="G60" i="78"/>
  <c r="G38" i="78"/>
  <c r="GW4" i="79" l="1"/>
  <c r="G89" i="78" s="1"/>
  <c r="GU4" i="79"/>
  <c r="G86" i="78" s="1"/>
  <c r="CC6" i="79"/>
  <c r="W6" i="79" s="1"/>
  <c r="BY6" i="79"/>
  <c r="Q6" i="79" s="1"/>
  <c r="CA4" i="79"/>
  <c r="G53" i="78" s="1"/>
  <c r="G88" i="78"/>
  <c r="G78" i="78"/>
  <c r="CA6" i="79"/>
  <c r="U6" i="79" s="1"/>
  <c r="BZ6" i="79"/>
  <c r="T6" i="79" s="1"/>
  <c r="CB6" i="79"/>
  <c r="V6" i="79" s="1"/>
  <c r="CB4" i="79"/>
  <c r="BZ4" i="79"/>
  <c r="CC4" i="79"/>
  <c r="EF6" i="79"/>
  <c r="ER6" i="79"/>
  <c r="EO6" i="79"/>
  <c r="FA6" i="79"/>
  <c r="DX6" i="79"/>
  <c r="EV6" i="79"/>
  <c r="EG6" i="79"/>
  <c r="ES6" i="79"/>
  <c r="DW4" i="79"/>
  <c r="EU4" i="79"/>
  <c r="FI4" i="79"/>
  <c r="EW4" i="79"/>
  <c r="FF4" i="79"/>
  <c r="ET4" i="79"/>
  <c r="EH4" i="79"/>
  <c r="EK4" i="79"/>
  <c r="FM6" i="79"/>
  <c r="EC6" i="79"/>
  <c r="DY4" i="79"/>
  <c r="EJ6" i="79"/>
  <c r="FH6" i="79"/>
  <c r="G85" i="78"/>
  <c r="DU6" i="79"/>
  <c r="FD6" i="79"/>
  <c r="DT6" i="79"/>
  <c r="DV4" i="79"/>
  <c r="FG4" i="79"/>
  <c r="EI4" i="79"/>
  <c r="FE6" i="79"/>
  <c r="EE6" i="79"/>
  <c r="FC6" i="79"/>
  <c r="DS6" i="79"/>
  <c r="FJ6" i="79"/>
  <c r="DZ6" i="79"/>
  <c r="EL6" i="79"/>
  <c r="EN6" i="79"/>
  <c r="FL6" i="79"/>
  <c r="EB6" i="79"/>
  <c r="DV6" i="79"/>
  <c r="FF6" i="79"/>
  <c r="EH6" i="79"/>
  <c r="EA6" i="79"/>
  <c r="EM6" i="79"/>
  <c r="FK6" i="79"/>
  <c r="FG6" i="79"/>
  <c r="DW6" i="79"/>
  <c r="EI6" i="79"/>
  <c r="FI6" i="79"/>
  <c r="DY6" i="79"/>
  <c r="EK6" i="79"/>
  <c r="DZ4" i="79"/>
  <c r="EL4" i="79"/>
  <c r="FJ4" i="79"/>
  <c r="G79" i="78"/>
  <c r="G76" i="78"/>
  <c r="G75" i="78"/>
  <c r="G54" i="78" l="1"/>
  <c r="G55" i="78"/>
  <c r="G52" i="78"/>
  <c r="BQ5" i="66" l="1"/>
  <c r="BQ6" i="66"/>
  <c r="BP5" i="66"/>
  <c r="BP6" i="66"/>
  <c r="F4" i="69"/>
  <c r="I38" i="68"/>
  <c r="B28" i="68"/>
  <c r="B27" i="68"/>
  <c r="B25" i="68"/>
  <c r="B24" i="68"/>
  <c r="B4" i="69" l="1"/>
  <c r="C4" i="69"/>
  <c r="A4" i="69"/>
  <c r="AU4" i="69" l="1"/>
  <c r="BR4" i="69" s="1"/>
  <c r="BH4" i="69"/>
  <c r="BL4" i="69"/>
  <c r="BN4" i="69"/>
  <c r="BO4" i="69"/>
  <c r="BQ4" i="69"/>
  <c r="BJ4" i="69"/>
  <c r="T4" i="69"/>
  <c r="S4" i="69"/>
  <c r="R4" i="69"/>
  <c r="J4" i="69"/>
  <c r="I4" i="69"/>
  <c r="G4" i="69"/>
  <c r="H4" i="69"/>
  <c r="E4" i="69"/>
  <c r="D4" i="69"/>
  <c r="BM4" i="69" l="1"/>
  <c r="BI4" i="69"/>
  <c r="BK4" i="69"/>
  <c r="AV4" i="69"/>
  <c r="K4" i="69" s="1"/>
  <c r="BS4" i="69"/>
  <c r="BP4" i="69"/>
  <c r="AO4" i="69"/>
  <c r="X6" i="69"/>
  <c r="W6" i="69"/>
  <c r="V6" i="69"/>
  <c r="U6" i="69"/>
  <c r="X5" i="69"/>
  <c r="W5" i="69"/>
  <c r="V5" i="69"/>
  <c r="U5" i="69"/>
  <c r="V4" i="69"/>
  <c r="X4" i="69"/>
  <c r="Y5" i="69" l="1"/>
  <c r="Z5" i="69"/>
  <c r="AA5" i="69"/>
  <c r="AE5" i="69" s="1"/>
  <c r="Y6" i="69"/>
  <c r="Z6" i="69"/>
  <c r="AA6" i="69"/>
  <c r="AE6" i="69" s="1"/>
  <c r="W4" i="69"/>
  <c r="U4" i="69"/>
  <c r="J85" i="14"/>
  <c r="I85" i="14"/>
  <c r="G145" i="14"/>
  <c r="H145" i="14"/>
  <c r="G146" i="14"/>
  <c r="H146" i="14"/>
  <c r="G147" i="14"/>
  <c r="H147" i="14"/>
  <c r="G148" i="14"/>
  <c r="H148" i="14"/>
  <c r="G149" i="14"/>
  <c r="H149" i="14"/>
  <c r="G150" i="14"/>
  <c r="H150" i="14"/>
  <c r="G151" i="14"/>
  <c r="H151" i="14"/>
  <c r="H144" i="14"/>
  <c r="G144" i="14"/>
  <c r="H57" i="14"/>
  <c r="J10" i="14"/>
  <c r="J11" i="14"/>
  <c r="J12" i="14"/>
  <c r="J13" i="14"/>
  <c r="J14" i="14"/>
  <c r="J15" i="14"/>
  <c r="J16" i="14"/>
  <c r="J9" i="14"/>
  <c r="G57" i="14"/>
  <c r="I10" i="14"/>
  <c r="I11" i="14"/>
  <c r="I12" i="14"/>
  <c r="I13" i="14"/>
  <c r="I14" i="14"/>
  <c r="I15" i="14"/>
  <c r="I16" i="14"/>
  <c r="I9" i="14"/>
  <c r="EJ6" i="69" l="1"/>
  <c r="EK6" i="69"/>
  <c r="EJ5" i="69"/>
  <c r="EK5" i="69"/>
  <c r="Y4" i="69"/>
  <c r="AP4" i="69" s="1"/>
  <c r="Z4" i="69"/>
  <c r="AA4" i="69"/>
  <c r="AE4" i="69" s="1"/>
  <c r="J57" i="14"/>
  <c r="N9" i="14"/>
  <c r="L11" i="14"/>
  <c r="D9" i="24" s="1"/>
  <c r="M9" i="14"/>
  <c r="E14" i="24" s="1"/>
  <c r="L10" i="14"/>
  <c r="D8" i="24" s="1"/>
  <c r="L16" i="14"/>
  <c r="D14" i="24" s="1"/>
  <c r="L15" i="14"/>
  <c r="D13" i="24" s="1"/>
  <c r="L13" i="14"/>
  <c r="D11" i="24" s="1"/>
  <c r="L14" i="14"/>
  <c r="D12" i="24" s="1"/>
  <c r="L12" i="14"/>
  <c r="D10" i="24" s="1"/>
  <c r="AN6" i="69"/>
  <c r="AP6" i="69"/>
  <c r="AN5" i="69"/>
  <c r="AP5" i="69"/>
  <c r="AD5" i="69"/>
  <c r="AF5" i="69" s="1"/>
  <c r="AD6" i="69"/>
  <c r="AF6" i="69" s="1"/>
  <c r="L9" i="14"/>
  <c r="D7" i="24" s="1"/>
  <c r="EJ4" i="69" l="1"/>
  <c r="EK4" i="69"/>
  <c r="E7" i="24"/>
  <c r="AS5" i="69"/>
  <c r="AT5" i="69"/>
  <c r="AS6" i="69"/>
  <c r="AT6" i="69"/>
  <c r="AQ5" i="69"/>
  <c r="AR5" i="69"/>
  <c r="AQ6" i="69"/>
  <c r="AR6" i="69"/>
  <c r="E8" i="24"/>
  <c r="E13" i="24"/>
  <c r="E10" i="24"/>
  <c r="E11" i="24"/>
  <c r="E9" i="24"/>
  <c r="E12" i="24"/>
  <c r="AT4" i="69"/>
  <c r="AN4" i="69"/>
  <c r="AQ4" i="69" s="1"/>
  <c r="AD4" i="69"/>
  <c r="AF4" i="69" s="1"/>
  <c r="AR4" i="69" l="1"/>
  <c r="AS4" i="69"/>
  <c r="AM6" i="69"/>
  <c r="AM5" i="69"/>
  <c r="CE6" i="69" l="1"/>
  <c r="CQ6" i="69"/>
  <c r="DC6" i="69" s="1"/>
  <c r="CE5" i="69"/>
  <c r="CQ5" i="69"/>
  <c r="DC5" i="69" s="1"/>
  <c r="AM4" i="69"/>
  <c r="CM6" i="69"/>
  <c r="CP6" i="69"/>
  <c r="DB6" i="69" s="1"/>
  <c r="CF6" i="69"/>
  <c r="CN6" i="69"/>
  <c r="CH6" i="69"/>
  <c r="CG6" i="69"/>
  <c r="CO6" i="69"/>
  <c r="DA6" i="69" s="1"/>
  <c r="CI6" i="69"/>
  <c r="CL6" i="69"/>
  <c r="CJ6" i="69"/>
  <c r="CK6" i="69"/>
  <c r="CH5" i="69"/>
  <c r="CP5" i="69"/>
  <c r="DB5" i="69" s="1"/>
  <c r="CI5" i="69"/>
  <c r="CO5" i="69"/>
  <c r="DA5" i="69" s="1"/>
  <c r="CJ5" i="69"/>
  <c r="CK5" i="69"/>
  <c r="CG5" i="69"/>
  <c r="CL5" i="69"/>
  <c r="CN5" i="69"/>
  <c r="CM5" i="69"/>
  <c r="CF5" i="69"/>
  <c r="BY6" i="69"/>
  <c r="BZ6" i="69"/>
  <c r="CA6" i="69"/>
  <c r="CC6" i="69"/>
  <c r="CD6" i="69"/>
  <c r="BT6" i="69"/>
  <c r="CB6" i="69"/>
  <c r="BU6" i="69"/>
  <c r="BV6" i="69"/>
  <c r="BW6" i="69"/>
  <c r="BX6" i="69"/>
  <c r="BT5" i="69"/>
  <c r="CB5" i="69"/>
  <c r="BU5" i="69"/>
  <c r="CC5" i="69"/>
  <c r="BV5" i="69"/>
  <c r="CD5" i="69"/>
  <c r="BW5" i="69"/>
  <c r="BX5" i="69"/>
  <c r="BY5" i="69"/>
  <c r="BZ5" i="69"/>
  <c r="CA5" i="69"/>
  <c r="EM6" i="69"/>
  <c r="EI6" i="69" s="1"/>
  <c r="EM5" i="69"/>
  <c r="EI5" i="69" s="1"/>
  <c r="L5" i="69"/>
  <c r="EL5" i="69"/>
  <c r="EH5" i="69" s="1"/>
  <c r="L6" i="69"/>
  <c r="EL6" i="69"/>
  <c r="EH6" i="69" s="1"/>
  <c r="AW6" i="69"/>
  <c r="AX6" i="69" s="1"/>
  <c r="AZ6" i="69" s="1"/>
  <c r="AW5" i="69"/>
  <c r="AX5" i="69" l="1"/>
  <c r="AZ5" i="69" s="1"/>
  <c r="M5" i="69"/>
  <c r="CZ5" i="69"/>
  <c r="DX5" i="69" s="1"/>
  <c r="CX5" i="69"/>
  <c r="DV5" i="69" s="1"/>
  <c r="CZ6" i="69"/>
  <c r="DL6" i="69" s="1"/>
  <c r="CS5" i="69"/>
  <c r="DQ5" i="69" s="1"/>
  <c r="CW6" i="69"/>
  <c r="DU6" i="69" s="1"/>
  <c r="CR6" i="69"/>
  <c r="DP6" i="69" s="1"/>
  <c r="CT5" i="69"/>
  <c r="DR5" i="69" s="1"/>
  <c r="CW5" i="69"/>
  <c r="DU5" i="69" s="1"/>
  <c r="CV6" i="69"/>
  <c r="DT6" i="69" s="1"/>
  <c r="CS6" i="69"/>
  <c r="DQ6" i="69" s="1"/>
  <c r="CV5" i="69"/>
  <c r="DH5" i="69" s="1"/>
  <c r="CX6" i="69"/>
  <c r="DV6" i="69" s="1"/>
  <c r="CY6" i="69"/>
  <c r="DW6" i="69" s="1"/>
  <c r="CY5" i="69"/>
  <c r="DK5" i="69" s="1"/>
  <c r="CT6" i="69"/>
  <c r="DR6" i="69" s="1"/>
  <c r="CU6" i="69"/>
  <c r="DS6" i="69" s="1"/>
  <c r="CR5" i="69"/>
  <c r="DP5" i="69" s="1"/>
  <c r="CU5" i="69"/>
  <c r="DS5" i="69" s="1"/>
  <c r="CE4" i="69"/>
  <c r="CQ4" i="69"/>
  <c r="DC4" i="69" s="1"/>
  <c r="EE6" i="69"/>
  <c r="ED6" i="69" s="1"/>
  <c r="EE5" i="69"/>
  <c r="ED5" i="69" s="1"/>
  <c r="EG6" i="69"/>
  <c r="EF6" i="69" s="1"/>
  <c r="EG5" i="69"/>
  <c r="EF5" i="69" s="1"/>
  <c r="AY5" i="69"/>
  <c r="P5" i="69" s="1"/>
  <c r="AY6" i="69"/>
  <c r="BC6" i="69" s="1"/>
  <c r="DY5" i="69"/>
  <c r="DY6" i="69"/>
  <c r="Q6" i="69"/>
  <c r="DZ6" i="69"/>
  <c r="BD6" i="69"/>
  <c r="BE6" i="69" s="1"/>
  <c r="M6" i="69" s="1"/>
  <c r="BD5" i="69"/>
  <c r="BE5" i="69" s="1"/>
  <c r="DZ5" i="69"/>
  <c r="BC5" i="69" l="1"/>
  <c r="DG6" i="69"/>
  <c r="DF5" i="69"/>
  <c r="DE6" i="69"/>
  <c r="DL5" i="69"/>
  <c r="DK6" i="69"/>
  <c r="DJ6" i="69"/>
  <c r="DE5" i="69"/>
  <c r="DI5" i="69"/>
  <c r="DD5" i="69"/>
  <c r="DD6" i="69"/>
  <c r="DJ5" i="69"/>
  <c r="DF6" i="69"/>
  <c r="DH6" i="69"/>
  <c r="DI6" i="69"/>
  <c r="DG5" i="69"/>
  <c r="DW5" i="69"/>
  <c r="DT5" i="69"/>
  <c r="DX6" i="69"/>
  <c r="BF6" i="69"/>
  <c r="P6" i="69" s="1"/>
  <c r="BG6" i="69"/>
  <c r="BF5" i="69"/>
  <c r="BG5" i="69"/>
  <c r="CK4" i="69"/>
  <c r="CW4" i="69" s="1"/>
  <c r="CD4" i="69"/>
  <c r="L4" i="69"/>
  <c r="G35" i="68" s="1"/>
  <c r="CG4" i="69"/>
  <c r="CS4" i="69" s="1"/>
  <c r="CL4" i="69"/>
  <c r="CX4" i="69" s="1"/>
  <c r="BW4" i="69"/>
  <c r="EM4" i="69"/>
  <c r="CO4" i="69"/>
  <c r="DA4" i="69" s="1"/>
  <c r="CN4" i="69"/>
  <c r="CZ4" i="69" s="1"/>
  <c r="BX4" i="69"/>
  <c r="EL4" i="69"/>
  <c r="CH4" i="69"/>
  <c r="CT4" i="69" s="1"/>
  <c r="BT4" i="69"/>
  <c r="BY4" i="69"/>
  <c r="AW4" i="69"/>
  <c r="CP4" i="69"/>
  <c r="DB4" i="69" s="1"/>
  <c r="CF4" i="69"/>
  <c r="CR4" i="69" s="1"/>
  <c r="BZ4" i="69"/>
  <c r="CI4" i="69"/>
  <c r="CU4" i="69" s="1"/>
  <c r="BU4" i="69"/>
  <c r="CB4" i="69"/>
  <c r="CJ4" i="69"/>
  <c r="CV4" i="69" s="1"/>
  <c r="CC4" i="69"/>
  <c r="CA4" i="69"/>
  <c r="CM4" i="69"/>
  <c r="CY4" i="69" s="1"/>
  <c r="BV4" i="69"/>
  <c r="DM6" i="69"/>
  <c r="DN6" i="69"/>
  <c r="DN5" i="69"/>
  <c r="DM5" i="69"/>
  <c r="BD4" i="69" l="1"/>
  <c r="BE4" i="69" s="1"/>
  <c r="M4" i="69" s="1"/>
  <c r="G37" i="68" s="1"/>
  <c r="AX4" i="69"/>
  <c r="AZ4" i="69" s="1"/>
  <c r="DY4" i="69"/>
  <c r="EI4" i="69"/>
  <c r="EG4" i="69" s="1"/>
  <c r="EF4" i="69" s="1"/>
  <c r="G62" i="68"/>
  <c r="DT4" i="69"/>
  <c r="DH4" i="69"/>
  <c r="DV4" i="69"/>
  <c r="DJ4" i="69"/>
  <c r="DR4" i="69"/>
  <c r="DF4" i="69"/>
  <c r="DQ4" i="69"/>
  <c r="DE4" i="69"/>
  <c r="DS4" i="69"/>
  <c r="DG4" i="69"/>
  <c r="G59" i="68"/>
  <c r="EH4" i="69"/>
  <c r="EE4" i="69" s="1"/>
  <c r="ED4" i="69" s="1"/>
  <c r="DW4" i="69"/>
  <c r="DK4" i="69"/>
  <c r="DP4" i="69"/>
  <c r="DD4" i="69"/>
  <c r="DX4" i="69"/>
  <c r="DL4" i="69"/>
  <c r="DU4" i="69"/>
  <c r="DI4" i="69"/>
  <c r="Q5" i="69"/>
  <c r="B19" i="15"/>
  <c r="G52" i="68" l="1"/>
  <c r="BG4" i="69"/>
  <c r="AY4" i="69"/>
  <c r="BF4" i="69"/>
  <c r="G38" i="68"/>
  <c r="DM4" i="69"/>
  <c r="G60" i="68"/>
  <c r="G61" i="68"/>
  <c r="G64" i="68"/>
  <c r="G63" i="68"/>
  <c r="Q4" i="69"/>
  <c r="G49" i="68" s="1"/>
  <c r="C70" i="67"/>
  <c r="L4" i="66"/>
  <c r="K4" i="66"/>
  <c r="G51" i="68" l="1"/>
  <c r="P4" i="69"/>
  <c r="G48" i="68" s="1"/>
  <c r="BC4" i="69"/>
  <c r="G39" i="68" s="1"/>
  <c r="DZ4" i="69"/>
  <c r="BQ4" i="66"/>
  <c r="DN4" i="69"/>
  <c r="I25" i="67" l="1"/>
  <c r="B29" i="67" l="1"/>
  <c r="B31" i="67"/>
  <c r="BN5" i="66" l="1"/>
  <c r="BN6" i="66"/>
  <c r="BM5" i="66"/>
  <c r="BM6" i="66"/>
  <c r="D4" i="66"/>
  <c r="BW4" i="66" s="1"/>
  <c r="CI4" i="66" s="1"/>
  <c r="BL5" i="66"/>
  <c r="BL6" i="66"/>
  <c r="J4" i="66"/>
  <c r="BP4" i="66" s="1"/>
  <c r="M4" i="66"/>
  <c r="N4" i="66"/>
  <c r="H4" i="66"/>
  <c r="G4" i="66"/>
  <c r="F4" i="66"/>
  <c r="C4" i="66"/>
  <c r="AP4" i="66" s="1"/>
  <c r="U4" i="66"/>
  <c r="T4" i="66"/>
  <c r="S4" i="66"/>
  <c r="AO4" i="66"/>
  <c r="AN4" i="66"/>
  <c r="AM4" i="66"/>
  <c r="AL4" i="66"/>
  <c r="AK4" i="66"/>
  <c r="AJ4" i="66"/>
  <c r="D71" i="67"/>
  <c r="C69" i="67"/>
  <c r="HK6" i="66"/>
  <c r="HM6" i="66" s="1"/>
  <c r="HJ6" i="66"/>
  <c r="HL6" i="66" s="1"/>
  <c r="GT6" i="66"/>
  <c r="GS6" i="66"/>
  <c r="GR6" i="66"/>
  <c r="GQ6" i="66"/>
  <c r="GP6" i="66"/>
  <c r="GO6" i="66"/>
  <c r="GN6" i="66"/>
  <c r="GM6" i="66"/>
  <c r="GL6" i="66"/>
  <c r="GK6" i="66"/>
  <c r="GJ6" i="66"/>
  <c r="AS6" i="66"/>
  <c r="AR6" i="66"/>
  <c r="AQ6" i="66"/>
  <c r="AP6" i="66"/>
  <c r="HK5" i="66"/>
  <c r="HM5" i="66" s="1"/>
  <c r="HJ5" i="66"/>
  <c r="HL5" i="66" s="1"/>
  <c r="GT5" i="66"/>
  <c r="GS5" i="66"/>
  <c r="GR5" i="66"/>
  <c r="GQ5" i="66"/>
  <c r="GP5" i="66"/>
  <c r="GO5" i="66"/>
  <c r="GN5" i="66"/>
  <c r="GM5" i="66"/>
  <c r="GL5" i="66"/>
  <c r="GK5" i="66"/>
  <c r="GJ5" i="66"/>
  <c r="AS5" i="66"/>
  <c r="AR5" i="66"/>
  <c r="AQ5" i="66"/>
  <c r="AP5" i="66"/>
  <c r="BT4" i="66" l="1"/>
  <c r="DB5" i="66"/>
  <c r="AH5" i="66" s="1"/>
  <c r="DB6" i="66"/>
  <c r="AH6" i="66" s="1"/>
  <c r="BN4" i="66"/>
  <c r="BM4" i="66"/>
  <c r="BH6" i="66"/>
  <c r="BH5" i="66"/>
  <c r="CA4" i="66"/>
  <c r="CM4" i="66" s="1"/>
  <c r="BZ4" i="66"/>
  <c r="CL4" i="66" s="1"/>
  <c r="CB4" i="66"/>
  <c r="CN4" i="66" s="1"/>
  <c r="BY4" i="66"/>
  <c r="CK4" i="66" s="1"/>
  <c r="BX4" i="66"/>
  <c r="CJ4" i="66" s="1"/>
  <c r="BS4" i="66"/>
  <c r="BU4" i="66"/>
  <c r="BI5" i="66"/>
  <c r="BI6" i="66"/>
  <c r="AT5" i="66"/>
  <c r="AU5" i="66"/>
  <c r="AV5" i="66"/>
  <c r="AZ5" i="66" s="1"/>
  <c r="AT6" i="66"/>
  <c r="AU6" i="66"/>
  <c r="AV6" i="66"/>
  <c r="AZ6" i="66" s="1"/>
  <c r="AT4" i="66"/>
  <c r="AU4" i="66"/>
  <c r="AV4" i="66"/>
  <c r="HK4" i="66"/>
  <c r="HJ4" i="66"/>
  <c r="BO4" i="66"/>
  <c r="BL4" i="66"/>
  <c r="AR4" i="66"/>
  <c r="AQ4" i="66"/>
  <c r="AS4" i="66"/>
  <c r="BR4" i="66" l="1"/>
  <c r="DW5" i="66"/>
  <c r="EI5" i="66" s="1"/>
  <c r="EA5" i="66"/>
  <c r="EM5" i="66" s="1"/>
  <c r="DS6" i="66"/>
  <c r="EE6" i="66" s="1"/>
  <c r="EA6" i="66"/>
  <c r="EM6" i="66" s="1"/>
  <c r="HC5" i="66"/>
  <c r="HE5" i="66" s="1"/>
  <c r="HC6" i="66"/>
  <c r="HE6" i="66" s="1"/>
  <c r="HC4" i="66"/>
  <c r="AY6" i="66"/>
  <c r="BA6" i="66" s="1"/>
  <c r="HB6" i="66"/>
  <c r="HD6" i="66" s="1"/>
  <c r="AY5" i="66"/>
  <c r="BA5" i="66" s="1"/>
  <c r="EY5" i="66" s="1"/>
  <c r="GI5" i="66" s="1"/>
  <c r="HB5" i="66"/>
  <c r="HD5" i="66" s="1"/>
  <c r="AY4" i="66"/>
  <c r="HB4" i="66"/>
  <c r="BV4" i="66"/>
  <c r="DC4" i="66" s="1"/>
  <c r="AI4" i="66" s="1"/>
  <c r="G73" i="67" s="1"/>
  <c r="AZ4" i="66"/>
  <c r="BH4" i="66"/>
  <c r="BI4" i="66"/>
  <c r="DW6" i="66"/>
  <c r="EI6" i="66" s="1"/>
  <c r="DZ6" i="66"/>
  <c r="EL6" i="66" s="1"/>
  <c r="DP6" i="66"/>
  <c r="EB6" i="66" s="1"/>
  <c r="DT5" i="66"/>
  <c r="EF5" i="66" s="1"/>
  <c r="DX6" i="66"/>
  <c r="EJ6" i="66" s="1"/>
  <c r="DV6" i="66"/>
  <c r="EH6" i="66" s="1"/>
  <c r="DR6" i="66"/>
  <c r="ED6" i="66" s="1"/>
  <c r="DY5" i="66"/>
  <c r="EK5" i="66" s="1"/>
  <c r="DU6" i="66"/>
  <c r="EG6" i="66" s="1"/>
  <c r="DS5" i="66"/>
  <c r="EE5" i="66" s="1"/>
  <c r="DQ5" i="66"/>
  <c r="EC5" i="66" s="1"/>
  <c r="DV5" i="66"/>
  <c r="EH5" i="66" s="1"/>
  <c r="DY6" i="66"/>
  <c r="EK6" i="66" s="1"/>
  <c r="DT6" i="66"/>
  <c r="EF6" i="66" s="1"/>
  <c r="DQ6" i="66"/>
  <c r="EC6" i="66" s="1"/>
  <c r="DX5" i="66"/>
  <c r="EJ5" i="66" s="1"/>
  <c r="DU5" i="66"/>
  <c r="EG5" i="66" s="1"/>
  <c r="DZ5" i="66"/>
  <c r="EL5" i="66" s="1"/>
  <c r="DP5" i="66"/>
  <c r="EB5" i="66" s="1"/>
  <c r="DR5" i="66"/>
  <c r="ED5" i="66" s="1"/>
  <c r="CQ5" i="66"/>
  <c r="CO5" i="66"/>
  <c r="W5" i="66" s="1"/>
  <c r="CO6" i="66"/>
  <c r="W6" i="66" s="1"/>
  <c r="CQ6" i="66"/>
  <c r="HG5" i="66"/>
  <c r="HF5" i="66" s="1"/>
  <c r="HG6" i="66"/>
  <c r="HF6" i="66" s="1"/>
  <c r="CR5" i="66" l="1"/>
  <c r="CS5" i="66" s="1"/>
  <c r="CT5" i="66" s="1"/>
  <c r="Z5" i="66" s="1"/>
  <c r="Y5" i="66"/>
  <c r="CR6" i="66"/>
  <c r="Y6" i="66"/>
  <c r="EY6" i="66"/>
  <c r="GI6" i="66" s="1"/>
  <c r="GJ4" i="66"/>
  <c r="GK4" i="66"/>
  <c r="GS4" i="66"/>
  <c r="GL4" i="66"/>
  <c r="GT4" i="66"/>
  <c r="GM4" i="66"/>
  <c r="GU4" i="66"/>
  <c r="GN4" i="66"/>
  <c r="GO4" i="66"/>
  <c r="GP4" i="66"/>
  <c r="GQ4" i="66"/>
  <c r="GR4" i="66"/>
  <c r="FK5" i="66"/>
  <c r="FW5" i="66"/>
  <c r="BA4" i="66"/>
  <c r="HL4" i="66"/>
  <c r="HM4" i="66"/>
  <c r="CZ4" i="66"/>
  <c r="AG4" i="66" s="1"/>
  <c r="G68" i="67" s="1"/>
  <c r="DB4" i="66"/>
  <c r="AH4" i="66" s="1"/>
  <c r="G70" i="67" s="1"/>
  <c r="HI6" i="66"/>
  <c r="HH6" i="66" s="1"/>
  <c r="HI5" i="66"/>
  <c r="HH5" i="66" s="1"/>
  <c r="ET6" i="66"/>
  <c r="EW6" i="66"/>
  <c r="ES6" i="66"/>
  <c r="EV6" i="66"/>
  <c r="CS6" i="66"/>
  <c r="CT6" i="66" s="1"/>
  <c r="Z6" i="66" s="1"/>
  <c r="EU6" i="66"/>
  <c r="EP6" i="66"/>
  <c r="EO6" i="66"/>
  <c r="ER6" i="66"/>
  <c r="EN6" i="66"/>
  <c r="EZ6" i="66" s="1"/>
  <c r="GY6" i="66"/>
  <c r="GX6" i="66" s="1"/>
  <c r="EX6" i="66"/>
  <c r="HA6" i="66"/>
  <c r="GZ6" i="66" s="1"/>
  <c r="EX5" i="66"/>
  <c r="ER5" i="66"/>
  <c r="EW5" i="66"/>
  <c r="FU5" i="66" s="1"/>
  <c r="EU5" i="66"/>
  <c r="FG5" i="66" s="1"/>
  <c r="EO5" i="66"/>
  <c r="FM5" i="66" s="1"/>
  <c r="ET5" i="66"/>
  <c r="FF5" i="66" s="1"/>
  <c r="EV5" i="66"/>
  <c r="EP5" i="66"/>
  <c r="FN5" i="66" s="1"/>
  <c r="EN5" i="66"/>
  <c r="EQ5" i="66"/>
  <c r="ES5" i="66"/>
  <c r="EQ6" i="66"/>
  <c r="FC6" i="66" s="1"/>
  <c r="HA5" i="66"/>
  <c r="GZ5" i="66" s="1"/>
  <c r="GY5" i="66"/>
  <c r="GX5" i="66" s="1"/>
  <c r="FW6" i="66" l="1"/>
  <c r="FK6" i="66"/>
  <c r="CQ4" i="66"/>
  <c r="EA4" i="66"/>
  <c r="EM4" i="66" s="1"/>
  <c r="EY4" i="66" s="1"/>
  <c r="DU4" i="66"/>
  <c r="EG4" i="66" s="1"/>
  <c r="ES4" i="66" s="1"/>
  <c r="FE4" i="66" s="1"/>
  <c r="DR4" i="66"/>
  <c r="ED4" i="66" s="1"/>
  <c r="EP4" i="66" s="1"/>
  <c r="FB4" i="66" s="1"/>
  <c r="DT4" i="66"/>
  <c r="EF4" i="66" s="1"/>
  <c r="ER4" i="66" s="1"/>
  <c r="FP4" i="66" s="1"/>
  <c r="HE4" i="66"/>
  <c r="HA4" i="66" s="1"/>
  <c r="GZ4" i="66" s="1"/>
  <c r="DQ4" i="66"/>
  <c r="EC4" i="66" s="1"/>
  <c r="EO4" i="66" s="1"/>
  <c r="FA4" i="66" s="1"/>
  <c r="HD4" i="66"/>
  <c r="GY4" i="66" s="1"/>
  <c r="GX4" i="66" s="1"/>
  <c r="CO4" i="66"/>
  <c r="W4" i="66" s="1"/>
  <c r="G47" i="67" s="1"/>
  <c r="DY4" i="66"/>
  <c r="EK4" i="66" s="1"/>
  <c r="EW4" i="66" s="1"/>
  <c r="GG4" i="66" s="1"/>
  <c r="DX4" i="66"/>
  <c r="EJ4" i="66" s="1"/>
  <c r="EV4" i="66" s="1"/>
  <c r="GF4" i="66" s="1"/>
  <c r="DZ4" i="66"/>
  <c r="EL4" i="66" s="1"/>
  <c r="EX4" i="66" s="1"/>
  <c r="GH4" i="66" s="1"/>
  <c r="DW4" i="66"/>
  <c r="EI4" i="66" s="1"/>
  <c r="EU4" i="66" s="1"/>
  <c r="GE4" i="66" s="1"/>
  <c r="DS4" i="66"/>
  <c r="EE4" i="66" s="1"/>
  <c r="EQ4" i="66" s="1"/>
  <c r="FC4" i="66" s="1"/>
  <c r="DV4" i="66"/>
  <c r="EH4" i="66" s="1"/>
  <c r="ET4" i="66" s="1"/>
  <c r="GD4" i="66" s="1"/>
  <c r="DP4" i="66"/>
  <c r="EB4" i="66" s="1"/>
  <c r="EN4" i="66" s="1"/>
  <c r="FX4" i="66" s="1"/>
  <c r="X6" i="66"/>
  <c r="X5" i="66"/>
  <c r="FB5" i="66"/>
  <c r="FZ5" i="66"/>
  <c r="HI4" i="66"/>
  <c r="HH4" i="66" s="1"/>
  <c r="G96" i="67"/>
  <c r="HG4" i="66"/>
  <c r="HF4" i="66" s="1"/>
  <c r="G93" i="67"/>
  <c r="FO6" i="66"/>
  <c r="FX6" i="66"/>
  <c r="FL6" i="66"/>
  <c r="GE5" i="66"/>
  <c r="GA6" i="66"/>
  <c r="FS5" i="66"/>
  <c r="FY5" i="66"/>
  <c r="FA5" i="66"/>
  <c r="GG5" i="66"/>
  <c r="FI5" i="66"/>
  <c r="FR5" i="66"/>
  <c r="GD5" i="66"/>
  <c r="FX5" i="66"/>
  <c r="FL5" i="66"/>
  <c r="EZ5" i="66"/>
  <c r="CW5" i="66"/>
  <c r="AE5" i="66" s="1"/>
  <c r="CV5" i="66"/>
  <c r="AD5" i="66" s="1"/>
  <c r="CU5" i="66"/>
  <c r="FV5" i="66"/>
  <c r="FJ5" i="66"/>
  <c r="GH5" i="66"/>
  <c r="FM6" i="66"/>
  <c r="FA6" i="66"/>
  <c r="FY6" i="66"/>
  <c r="FO5" i="66"/>
  <c r="FC5" i="66"/>
  <c r="GA5" i="66"/>
  <c r="FD5" i="66"/>
  <c r="GB5" i="66"/>
  <c r="FP5" i="66"/>
  <c r="FE5" i="66"/>
  <c r="GC5" i="66"/>
  <c r="FQ5" i="66"/>
  <c r="CW6" i="66"/>
  <c r="AE6" i="66" s="1"/>
  <c r="CV6" i="66"/>
  <c r="AD6" i="66" s="1"/>
  <c r="CU6" i="66"/>
  <c r="FD6" i="66"/>
  <c r="GB6" i="66"/>
  <c r="FP6" i="66"/>
  <c r="FV6" i="66"/>
  <c r="FJ6" i="66"/>
  <c r="GH6" i="66"/>
  <c r="FU6" i="66"/>
  <c r="FI6" i="66"/>
  <c r="GG6" i="66"/>
  <c r="GF5" i="66"/>
  <c r="FT5" i="66"/>
  <c r="FH5" i="66"/>
  <c r="GE6" i="66"/>
  <c r="FS6" i="66"/>
  <c r="FG6" i="66"/>
  <c r="FN6" i="66"/>
  <c r="FB6" i="66"/>
  <c r="FZ6" i="66"/>
  <c r="FT6" i="66"/>
  <c r="GF6" i="66"/>
  <c r="FH6" i="66"/>
  <c r="GD6" i="66"/>
  <c r="FR6" i="66"/>
  <c r="FF6" i="66"/>
  <c r="FE6" i="66"/>
  <c r="GC6" i="66"/>
  <c r="FQ6" i="66"/>
  <c r="CR4" i="66" l="1"/>
  <c r="Y4" i="66"/>
  <c r="G57" i="67" s="1"/>
  <c r="GI4" i="66"/>
  <c r="FK4" i="66"/>
  <c r="FW4" i="66"/>
  <c r="FZ4" i="66"/>
  <c r="FN4" i="66"/>
  <c r="GC4" i="66"/>
  <c r="FQ4" i="66"/>
  <c r="FY4" i="66"/>
  <c r="FM4" i="66"/>
  <c r="G83" i="67"/>
  <c r="GB4" i="66"/>
  <c r="FD4" i="66"/>
  <c r="G86" i="67"/>
  <c r="FJ4" i="66"/>
  <c r="FS4" i="66"/>
  <c r="FV4" i="66"/>
  <c r="FG4" i="66"/>
  <c r="FI4" i="66"/>
  <c r="FU4" i="66"/>
  <c r="FO4" i="66"/>
  <c r="FH4" i="66"/>
  <c r="FT4" i="66"/>
  <c r="GA4" i="66"/>
  <c r="FF4" i="66"/>
  <c r="FR4" i="66"/>
  <c r="EZ4" i="66"/>
  <c r="FL4" i="66"/>
  <c r="G98" i="67"/>
  <c r="G97" i="67"/>
  <c r="G95" i="67"/>
  <c r="G94" i="67"/>
  <c r="G88" i="67"/>
  <c r="G87" i="67"/>
  <c r="G85" i="67"/>
  <c r="G84" i="67"/>
  <c r="AC6" i="66"/>
  <c r="AC5" i="66"/>
  <c r="CS4" i="66" l="1"/>
  <c r="CT4" i="66" s="1"/>
  <c r="Z4" i="66" s="1"/>
  <c r="G59" i="67" s="1"/>
  <c r="X4" i="66"/>
  <c r="G49" i="67" s="1"/>
  <c r="CU4" i="66" l="1"/>
  <c r="AC4" i="66" s="1"/>
  <c r="G63" i="67" s="1"/>
  <c r="CW4" i="66"/>
  <c r="AE4" i="66" s="1"/>
  <c r="G65" i="67" s="1"/>
  <c r="CV4" i="66"/>
  <c r="AD4" i="66" s="1"/>
  <c r="G64" i="67" s="1"/>
  <c r="K4" i="21"/>
  <c r="J4" i="21"/>
  <c r="I4" i="21"/>
  <c r="HH5" i="21"/>
  <c r="HH6" i="21"/>
  <c r="BI6" i="21"/>
  <c r="AD4" i="21"/>
  <c r="AC4" i="21"/>
  <c r="AB4" i="21"/>
  <c r="AA4" i="21"/>
  <c r="Z4" i="21"/>
  <c r="Y4" i="21"/>
  <c r="H4" i="21"/>
  <c r="G4" i="21"/>
  <c r="F4" i="21"/>
  <c r="E4" i="21"/>
  <c r="D4" i="21"/>
  <c r="C4" i="21"/>
  <c r="B4" i="21"/>
  <c r="A4" i="21"/>
  <c r="CA4" i="21" s="1"/>
  <c r="L4" i="21" s="1"/>
  <c r="BV4" i="21" l="1"/>
  <c r="BK4" i="21"/>
  <c r="BX4" i="21"/>
  <c r="BL4" i="21"/>
  <c r="BU4" i="21"/>
  <c r="BH4" i="21"/>
  <c r="BI4" i="21"/>
  <c r="HG4" i="21"/>
  <c r="HH4" i="21"/>
  <c r="HG6" i="21"/>
  <c r="HG5" i="21"/>
  <c r="BT4" i="21" l="1"/>
  <c r="BZ4" i="21" s="1"/>
  <c r="BZ5" i="21"/>
  <c r="BZ6" i="21"/>
  <c r="FS6" i="21" l="1"/>
  <c r="GE6" i="21" s="1"/>
  <c r="FT6" i="21"/>
  <c r="GF6" i="21" s="1"/>
  <c r="FS5" i="21"/>
  <c r="GE5" i="21" s="1"/>
  <c r="FT5" i="21"/>
  <c r="GF5" i="21" s="1"/>
  <c r="FT4" i="21"/>
  <c r="FS4" i="21"/>
  <c r="AE4" i="21"/>
  <c r="AF4" i="21"/>
  <c r="AG4" i="21"/>
  <c r="BG4" i="21" s="1"/>
  <c r="AH4" i="21"/>
  <c r="BQ4" i="21"/>
  <c r="G84" i="65"/>
  <c r="G81" i="65"/>
  <c r="Z4" i="23"/>
  <c r="D59" i="65"/>
  <c r="C58" i="65"/>
  <c r="C57" i="65"/>
  <c r="E4" i="23"/>
  <c r="GQ4" i="23" s="1"/>
  <c r="AB4" i="23"/>
  <c r="AA4" i="23"/>
  <c r="C57" i="28"/>
  <c r="IH5" i="23"/>
  <c r="CA5" i="23" s="1"/>
  <c r="IH6" i="23"/>
  <c r="CA6" i="23" s="1"/>
  <c r="II5" i="23"/>
  <c r="II6" i="23"/>
  <c r="BX5" i="23"/>
  <c r="BX6" i="23"/>
  <c r="AM4" i="21" l="1"/>
  <c r="AJ4" i="21"/>
  <c r="BB4" i="21" s="1"/>
  <c r="BA4" i="21"/>
  <c r="GL4" i="23"/>
  <c r="GH4" i="23"/>
  <c r="GM4" i="23"/>
  <c r="GP4" i="23"/>
  <c r="GN4" i="23"/>
  <c r="GK4" i="23"/>
  <c r="GO4" i="23"/>
  <c r="GJ4" i="23"/>
  <c r="GI4" i="23"/>
  <c r="BW4" i="21"/>
  <c r="BS4" i="21" s="1"/>
  <c r="CL4" i="21" s="1"/>
  <c r="BJ4" i="21"/>
  <c r="BV4" i="23"/>
  <c r="BQ4" i="23"/>
  <c r="GF4" i="21"/>
  <c r="GE4" i="21"/>
  <c r="AK4" i="21"/>
  <c r="AN4" i="21"/>
  <c r="AR4" i="21" s="1"/>
  <c r="BO4" i="21"/>
  <c r="AI4" i="21"/>
  <c r="AL4" i="21"/>
  <c r="X4" i="21" l="1"/>
  <c r="G61" i="65" s="1"/>
  <c r="GB4" i="21"/>
  <c r="FU4" i="21"/>
  <c r="GC4" i="21"/>
  <c r="FV4" i="21"/>
  <c r="GD4" i="21"/>
  <c r="GP4" i="21" s="1"/>
  <c r="FY4" i="21"/>
  <c r="FW4" i="21"/>
  <c r="FX4" i="21"/>
  <c r="FZ4" i="21"/>
  <c r="GA4" i="21"/>
  <c r="HI4" i="21"/>
  <c r="HJ4" i="21"/>
  <c r="GS4" i="23"/>
  <c r="GR4" i="23"/>
  <c r="BC4" i="21"/>
  <c r="BD4" i="21" s="1"/>
  <c r="GY4" i="21"/>
  <c r="GZ4" i="21"/>
  <c r="AQ4" i="21"/>
  <c r="AS4" i="21" s="1"/>
  <c r="BP4" i="21"/>
  <c r="Y4" i="23"/>
  <c r="X4" i="23"/>
  <c r="W4" i="23"/>
  <c r="C63" i="30"/>
  <c r="D65" i="30"/>
  <c r="J4" i="23"/>
  <c r="I4" i="23"/>
  <c r="H4" i="23"/>
  <c r="G4" i="23"/>
  <c r="F4" i="23"/>
  <c r="C4" i="23"/>
  <c r="D4" i="23"/>
  <c r="B4" i="23"/>
  <c r="BP4" i="23" s="1"/>
  <c r="A4" i="23"/>
  <c r="CY4" i="21" l="1"/>
  <c r="CZ4" i="21"/>
  <c r="DH4" i="21"/>
  <c r="DA4" i="21"/>
  <c r="DI4" i="21"/>
  <c r="DB4" i="21"/>
  <c r="DJ4" i="21"/>
  <c r="DC4" i="21"/>
  <c r="DD4" i="21"/>
  <c r="DE4" i="21"/>
  <c r="DF4" i="21"/>
  <c r="DG4" i="21"/>
  <c r="AZ4" i="21"/>
  <c r="CB4" i="21"/>
  <c r="O4" i="21" s="1"/>
  <c r="G45" i="65" s="1"/>
  <c r="BE4" i="21"/>
  <c r="BM4" i="21" s="1"/>
  <c r="HF4" i="21"/>
  <c r="HE4" i="21" s="1"/>
  <c r="HD4" i="21"/>
  <c r="HC4" i="21" s="1"/>
  <c r="GN4" i="21"/>
  <c r="GG4" i="21"/>
  <c r="GO4" i="21"/>
  <c r="GH4" i="21"/>
  <c r="GI4" i="21"/>
  <c r="GK4" i="21"/>
  <c r="GJ4" i="21"/>
  <c r="GL4" i="21"/>
  <c r="GM4" i="21"/>
  <c r="CK4" i="21"/>
  <c r="G74" i="65"/>
  <c r="G71" i="65"/>
  <c r="BR4" i="21"/>
  <c r="V4" i="21" s="1"/>
  <c r="BF4" i="21"/>
  <c r="AP4" i="19"/>
  <c r="HG4" i="19"/>
  <c r="HF4" i="19"/>
  <c r="IH4" i="23"/>
  <c r="CA4" i="23" s="1"/>
  <c r="II4" i="23"/>
  <c r="BA4" i="23"/>
  <c r="HA4" i="21" l="1"/>
  <c r="GW4" i="21" s="1"/>
  <c r="GT4" i="21" s="1"/>
  <c r="GS4" i="21" s="1"/>
  <c r="HB4" i="21"/>
  <c r="GX4" i="21" s="1"/>
  <c r="GV4" i="21" s="1"/>
  <c r="GU4" i="21" s="1"/>
  <c r="DK4" i="21"/>
  <c r="DW4" i="21" s="1"/>
  <c r="FG4" i="21" s="1"/>
  <c r="DL4" i="21"/>
  <c r="DX4" i="21" s="1"/>
  <c r="FH4" i="21" s="1"/>
  <c r="DT4" i="21"/>
  <c r="EF4" i="21" s="1"/>
  <c r="DM4" i="21"/>
  <c r="DU4" i="21"/>
  <c r="EG4" i="21" s="1"/>
  <c r="DV4" i="21"/>
  <c r="EH4" i="21" s="1"/>
  <c r="FR4" i="21" s="1"/>
  <c r="DO4" i="21"/>
  <c r="EA4" i="21" s="1"/>
  <c r="FK4" i="21" s="1"/>
  <c r="DP4" i="21"/>
  <c r="EB4" i="21" s="1"/>
  <c r="FL4" i="21" s="1"/>
  <c r="DQ4" i="21"/>
  <c r="EC4" i="21" s="1"/>
  <c r="FM4" i="21" s="1"/>
  <c r="DR4" i="21"/>
  <c r="ED4" i="21" s="1"/>
  <c r="FN4" i="21" s="1"/>
  <c r="DS4" i="21"/>
  <c r="EE4" i="21" s="1"/>
  <c r="FO4" i="21" s="1"/>
  <c r="W4" i="21"/>
  <c r="G58" i="65" s="1"/>
  <c r="G56" i="65"/>
  <c r="CC4" i="21"/>
  <c r="CD4" i="21" s="1"/>
  <c r="G85" i="65"/>
  <c r="BN4" i="21"/>
  <c r="BX4" i="23"/>
  <c r="CH4" i="21" l="1"/>
  <c r="CE4" i="21"/>
  <c r="P4" i="21" s="1"/>
  <c r="G47" i="65" s="1"/>
  <c r="FF4" i="21"/>
  <c r="ET4" i="21"/>
  <c r="CF4" i="21"/>
  <c r="CG4" i="21"/>
  <c r="G86" i="65"/>
  <c r="G82" i="65"/>
  <c r="M4" i="21"/>
  <c r="G35" i="65" s="1"/>
  <c r="N4" i="21"/>
  <c r="G37" i="65" s="1"/>
  <c r="DY4" i="21"/>
  <c r="FI4" i="21" s="1"/>
  <c r="DN4" i="21"/>
  <c r="DZ4" i="21" s="1"/>
  <c r="FJ4" i="21" s="1"/>
  <c r="ES4" i="21"/>
  <c r="FQ4" i="21"/>
  <c r="FE4" i="21"/>
  <c r="ER4" i="21"/>
  <c r="FP4" i="21"/>
  <c r="FD4" i="21"/>
  <c r="EV4" i="21"/>
  <c r="EJ4" i="21"/>
  <c r="EZ4" i="21"/>
  <c r="EN4" i="21"/>
  <c r="EY4" i="21"/>
  <c r="EM4" i="21"/>
  <c r="EO4" i="21"/>
  <c r="FA4" i="21"/>
  <c r="EP4" i="21"/>
  <c r="FB4" i="21"/>
  <c r="EU4" i="21"/>
  <c r="EI4" i="21"/>
  <c r="FC4" i="21"/>
  <c r="EQ4" i="21"/>
  <c r="G83" i="65" l="1"/>
  <c r="G75" i="65"/>
  <c r="G72" i="65"/>
  <c r="EL4" i="21"/>
  <c r="EW4" i="21"/>
  <c r="EX4" i="21"/>
  <c r="EK4" i="21"/>
  <c r="T4" i="21"/>
  <c r="U4" i="21"/>
  <c r="G53" i="65" l="1"/>
  <c r="G52" i="65"/>
  <c r="G76" i="65"/>
  <c r="G73" i="65"/>
  <c r="S4" i="21"/>
  <c r="G51" i="65" l="1"/>
  <c r="B32" i="30" l="1"/>
  <c r="B27" i="28"/>
  <c r="B28" i="28"/>
  <c r="E42" i="14" l="1"/>
  <c r="B43" i="14"/>
  <c r="B44" i="14"/>
  <c r="B45" i="14"/>
  <c r="B46" i="14"/>
  <c r="B47" i="14"/>
  <c r="B48" i="14"/>
  <c r="B49" i="14"/>
  <c r="B42" i="14"/>
  <c r="D42" i="14"/>
  <c r="E43" i="14"/>
  <c r="E44" i="14"/>
  <c r="E45" i="14"/>
  <c r="E46" i="14"/>
  <c r="E47" i="14"/>
  <c r="E48" i="14"/>
  <c r="E49" i="14"/>
  <c r="D43" i="14"/>
  <c r="D44" i="14"/>
  <c r="D45" i="14"/>
  <c r="D46" i="14"/>
  <c r="D47" i="14"/>
  <c r="D48" i="14"/>
  <c r="D49" i="14"/>
  <c r="C43" i="14"/>
  <c r="C44" i="14"/>
  <c r="C45" i="14"/>
  <c r="C46" i="14"/>
  <c r="C47" i="14"/>
  <c r="C48" i="14"/>
  <c r="C49" i="14"/>
  <c r="C42" i="14"/>
  <c r="C31" i="14"/>
  <c r="B32" i="14"/>
  <c r="C32" i="14"/>
  <c r="B33" i="14"/>
  <c r="C33" i="14"/>
  <c r="B34" i="14"/>
  <c r="C34" i="14"/>
  <c r="B35" i="14"/>
  <c r="C35" i="14"/>
  <c r="B36" i="14"/>
  <c r="C36" i="14"/>
  <c r="B37" i="14"/>
  <c r="C37" i="14"/>
  <c r="B38" i="14"/>
  <c r="C38" i="14"/>
  <c r="B31" i="14"/>
  <c r="BM5" i="23" l="1"/>
  <c r="BM6" i="23"/>
  <c r="BM4" i="23"/>
  <c r="BA5" i="23"/>
  <c r="BA6" i="23"/>
  <c r="AX5" i="23" l="1"/>
  <c r="AX6" i="23"/>
  <c r="AX4" i="23"/>
  <c r="AF6" i="23"/>
  <c r="AE6" i="23"/>
  <c r="AD6" i="23"/>
  <c r="AC6" i="23"/>
  <c r="AF5" i="23"/>
  <c r="AE5" i="23"/>
  <c r="AD5" i="23"/>
  <c r="AC5" i="23"/>
  <c r="AF4" i="23"/>
  <c r="AE4" i="23"/>
  <c r="AD4" i="23"/>
  <c r="AC4" i="23"/>
  <c r="AI4" i="23" l="1"/>
  <c r="AL4" i="23" s="1"/>
  <c r="AG5" i="23"/>
  <c r="AJ5" i="23" s="1"/>
  <c r="AH5" i="23"/>
  <c r="AK5" i="23" s="1"/>
  <c r="AI5" i="23"/>
  <c r="AL5" i="23" s="1"/>
  <c r="AP5" i="23" s="1"/>
  <c r="AG6" i="23"/>
  <c r="AJ6" i="23" s="1"/>
  <c r="AH6" i="23"/>
  <c r="AK6" i="23" s="1"/>
  <c r="BF6" i="23" s="1"/>
  <c r="AI6" i="23"/>
  <c r="AL6" i="23" s="1"/>
  <c r="AP6" i="23" s="1"/>
  <c r="AG4" i="23"/>
  <c r="AJ4" i="23" s="1"/>
  <c r="AH4" i="23"/>
  <c r="AK4" i="23" s="1"/>
  <c r="BH4" i="23" s="1"/>
  <c r="BS5" i="81"/>
  <c r="BX5" i="81" s="1"/>
  <c r="BR5" i="81"/>
  <c r="BV5" i="81" s="1"/>
  <c r="BQ5" i="81"/>
  <c r="BT5" i="81" s="1"/>
  <c r="HQ5" i="81"/>
  <c r="HP5" i="81"/>
  <c r="BX4" i="81"/>
  <c r="HP4" i="81"/>
  <c r="HQ4" i="81"/>
  <c r="BQ4" i="81"/>
  <c r="BT4" i="81" s="1"/>
  <c r="BR4" i="81"/>
  <c r="BV4" i="81" s="1"/>
  <c r="BQ6" i="81"/>
  <c r="BT6" i="81" s="1"/>
  <c r="BR6" i="81"/>
  <c r="BV6" i="81" s="1"/>
  <c r="HP6" i="81"/>
  <c r="HQ6" i="81"/>
  <c r="BS6" i="81"/>
  <c r="BX6" i="81" s="1"/>
  <c r="BF5" i="23"/>
  <c r="BT6" i="23"/>
  <c r="BU6" i="23"/>
  <c r="BT5" i="23"/>
  <c r="BU5" i="23"/>
  <c r="BT4" i="23"/>
  <c r="BU4" i="23"/>
  <c r="BK5" i="23"/>
  <c r="BL5" i="23"/>
  <c r="BK6" i="23"/>
  <c r="BL6" i="23"/>
  <c r="BK4" i="23"/>
  <c r="BL4" i="23"/>
  <c r="AY4" i="23"/>
  <c r="AZ4" i="23"/>
  <c r="AY6" i="23"/>
  <c r="AZ6" i="23"/>
  <c r="AY5" i="23"/>
  <c r="AZ5" i="23"/>
  <c r="BF4" i="23" l="1"/>
  <c r="BO5" i="81"/>
  <c r="HR5" i="81" s="1"/>
  <c r="HM5" i="81" s="1"/>
  <c r="HL5" i="81" s="1"/>
  <c r="BO4" i="81"/>
  <c r="EL4" i="81" s="1"/>
  <c r="EX4" i="81" s="1"/>
  <c r="BO6" i="81"/>
  <c r="HS6" i="81" s="1"/>
  <c r="HO6" i="81" s="1"/>
  <c r="HN6" i="81" s="1"/>
  <c r="EJ5" i="81"/>
  <c r="EV5" i="81" s="1"/>
  <c r="EE5" i="81"/>
  <c r="EQ5" i="81" s="1"/>
  <c r="EM5" i="81"/>
  <c r="EY5" i="81" s="1"/>
  <c r="ED5" i="81"/>
  <c r="EP5" i="81" s="1"/>
  <c r="EK5" i="81"/>
  <c r="EW5" i="81" s="1"/>
  <c r="EF5" i="81"/>
  <c r="ER5" i="81" s="1"/>
  <c r="EL5" i="81"/>
  <c r="EX5" i="81" s="1"/>
  <c r="DA5" i="81"/>
  <c r="EI5" i="81"/>
  <c r="EU5" i="81" s="1"/>
  <c r="BH6" i="23"/>
  <c r="BH5" i="23"/>
  <c r="CR6" i="23"/>
  <c r="CS6" i="23"/>
  <c r="CT6" i="23"/>
  <c r="CU6" i="23"/>
  <c r="CN6" i="23"/>
  <c r="CV6" i="23"/>
  <c r="CY6" i="23"/>
  <c r="CO6" i="23"/>
  <c r="CW6" i="23"/>
  <c r="CQ6" i="23"/>
  <c r="CP6" i="23"/>
  <c r="CX6" i="23"/>
  <c r="CN5" i="23"/>
  <c r="CV5" i="23"/>
  <c r="CO5" i="23"/>
  <c r="CW5" i="23"/>
  <c r="CP5" i="23"/>
  <c r="CX5" i="23"/>
  <c r="CQ5" i="23"/>
  <c r="CY5" i="23"/>
  <c r="CR5" i="23"/>
  <c r="CS5" i="23"/>
  <c r="CT5" i="23"/>
  <c r="CU5" i="23"/>
  <c r="CN4" i="23"/>
  <c r="CO4" i="23"/>
  <c r="CW4" i="23"/>
  <c r="CP4" i="23"/>
  <c r="CX4" i="23"/>
  <c r="CQ4" i="23"/>
  <c r="CY4" i="23"/>
  <c r="CR4" i="23"/>
  <c r="CV4" i="23"/>
  <c r="CS4" i="23"/>
  <c r="CU4" i="23"/>
  <c r="CT4" i="23"/>
  <c r="CB4" i="23"/>
  <c r="CB6" i="23"/>
  <c r="CB5" i="23"/>
  <c r="BI6" i="23"/>
  <c r="HZ6" i="23"/>
  <c r="IA6" i="23"/>
  <c r="BI5" i="23"/>
  <c r="HZ5" i="23"/>
  <c r="IA5" i="23"/>
  <c r="HZ4" i="23"/>
  <c r="IA4" i="23"/>
  <c r="BG4" i="23"/>
  <c r="AP4" i="23"/>
  <c r="BB4" i="23"/>
  <c r="BS4" i="23"/>
  <c r="BR4" i="23" s="1"/>
  <c r="HD6" i="23"/>
  <c r="HD5" i="23"/>
  <c r="BI4" i="23"/>
  <c r="BD6" i="23"/>
  <c r="BD5" i="23"/>
  <c r="BB5" i="23"/>
  <c r="BD4" i="23"/>
  <c r="BB6" i="23"/>
  <c r="BJ4" i="23"/>
  <c r="BJ6" i="23"/>
  <c r="BG6" i="23"/>
  <c r="BG5" i="23"/>
  <c r="BJ5" i="23"/>
  <c r="AO6" i="23"/>
  <c r="AQ6" i="23" s="1"/>
  <c r="AO4" i="23"/>
  <c r="AO5" i="23"/>
  <c r="AQ5" i="23" s="1"/>
  <c r="EN5" i="81" l="1"/>
  <c r="EZ5" i="81" s="1"/>
  <c r="EH5" i="81"/>
  <c r="ET5" i="81" s="1"/>
  <c r="EO5" i="81"/>
  <c r="FA5" i="81" s="1"/>
  <c r="EG5" i="81"/>
  <c r="ES5" i="81" s="1"/>
  <c r="FQ5" i="81" s="1"/>
  <c r="HS5" i="81"/>
  <c r="HO5" i="81" s="1"/>
  <c r="HN5" i="81" s="1"/>
  <c r="EK6" i="81"/>
  <c r="EW6" i="81" s="1"/>
  <c r="EJ6" i="81"/>
  <c r="EV6" i="81" s="1"/>
  <c r="GF6" i="81" s="1"/>
  <c r="EO6" i="81"/>
  <c r="FA6" i="81" s="1"/>
  <c r="GK6" i="81" s="1"/>
  <c r="GE4" i="23"/>
  <c r="HC4" i="23" s="1"/>
  <c r="HO4" i="23" s="1"/>
  <c r="BO4" i="23"/>
  <c r="EI4" i="81"/>
  <c r="EU4" i="81" s="1"/>
  <c r="FG4" i="81" s="1"/>
  <c r="EF4" i="81"/>
  <c r="ER4" i="81" s="1"/>
  <c r="GN4" i="81" s="1"/>
  <c r="ED4" i="81"/>
  <c r="EP4" i="81" s="1"/>
  <c r="FN4" i="81" s="1"/>
  <c r="EM4" i="81"/>
  <c r="EY4" i="81" s="1"/>
  <c r="FW4" i="81" s="1"/>
  <c r="EE4" i="81"/>
  <c r="EQ4" i="81" s="1"/>
  <c r="FC4" i="81" s="1"/>
  <c r="EG4" i="81"/>
  <c r="ES4" i="81" s="1"/>
  <c r="FE4" i="81" s="1"/>
  <c r="EN4" i="81"/>
  <c r="EZ4" i="81" s="1"/>
  <c r="GJ4" i="81" s="1"/>
  <c r="EO4" i="81"/>
  <c r="FA4" i="81" s="1"/>
  <c r="FM4" i="81" s="1"/>
  <c r="EJ4" i="81"/>
  <c r="EV4" i="81" s="1"/>
  <c r="FH4" i="81" s="1"/>
  <c r="EK4" i="81"/>
  <c r="EW4" i="81" s="1"/>
  <c r="GG4" i="81" s="1"/>
  <c r="DA4" i="81"/>
  <c r="U4" i="81" s="1"/>
  <c r="G46" i="80" s="1"/>
  <c r="EH4" i="81"/>
  <c r="ET4" i="81" s="1"/>
  <c r="FR4" i="81" s="1"/>
  <c r="EL6" i="81"/>
  <c r="EX6" i="81" s="1"/>
  <c r="GT6" i="81" s="1"/>
  <c r="EI6" i="81"/>
  <c r="EU6" i="81" s="1"/>
  <c r="GE6" i="81" s="1"/>
  <c r="EG6" i="81"/>
  <c r="ES6" i="81" s="1"/>
  <c r="FQ6" i="81" s="1"/>
  <c r="EE6" i="81"/>
  <c r="EQ6" i="81" s="1"/>
  <c r="FC6" i="81" s="1"/>
  <c r="HS4" i="81"/>
  <c r="HR4" i="81"/>
  <c r="HM4" i="81" s="1"/>
  <c r="EH6" i="81"/>
  <c r="ET6" i="81" s="1"/>
  <c r="GD6" i="81" s="1"/>
  <c r="EN6" i="81"/>
  <c r="EZ6" i="81" s="1"/>
  <c r="FL6" i="81" s="1"/>
  <c r="EM6" i="81"/>
  <c r="EY6" i="81" s="1"/>
  <c r="FW6" i="81" s="1"/>
  <c r="ED6" i="81"/>
  <c r="EP6" i="81" s="1"/>
  <c r="FN6" i="81" s="1"/>
  <c r="EF6" i="81"/>
  <c r="ER6" i="81" s="1"/>
  <c r="GB6" i="81" s="1"/>
  <c r="DA6" i="81"/>
  <c r="DC6" i="81" s="1"/>
  <c r="HR6" i="81"/>
  <c r="HM6" i="81" s="1"/>
  <c r="HL6" i="81" s="1"/>
  <c r="U5" i="81"/>
  <c r="DC5" i="81"/>
  <c r="GI5" i="81"/>
  <c r="FW5" i="81"/>
  <c r="FK5" i="81"/>
  <c r="GU5" i="81"/>
  <c r="GH5" i="81"/>
  <c r="FV5" i="81"/>
  <c r="GT5" i="81"/>
  <c r="FJ5" i="81"/>
  <c r="GA5" i="81"/>
  <c r="GM5" i="81"/>
  <c r="FO5" i="81"/>
  <c r="FC5" i="81"/>
  <c r="FD5" i="81"/>
  <c r="GB5" i="81"/>
  <c r="GN5" i="81"/>
  <c r="FP5" i="81"/>
  <c r="FT5" i="81"/>
  <c r="FH5" i="81"/>
  <c r="GF5" i="81"/>
  <c r="GR5" i="81"/>
  <c r="FL5" i="81"/>
  <c r="FX5" i="81"/>
  <c r="GJ5" i="81"/>
  <c r="GV5" i="81"/>
  <c r="FM5" i="81"/>
  <c r="FY5" i="81"/>
  <c r="GK5" i="81"/>
  <c r="GW5" i="81"/>
  <c r="GD5" i="81"/>
  <c r="FF5" i="81"/>
  <c r="GP5" i="81"/>
  <c r="FR5" i="81"/>
  <c r="GG6" i="81"/>
  <c r="FU6" i="81"/>
  <c r="FI6" i="81"/>
  <c r="GS6" i="81"/>
  <c r="GG5" i="81"/>
  <c r="FI5" i="81"/>
  <c r="FU5" i="81"/>
  <c r="GS5" i="81"/>
  <c r="GH4" i="81"/>
  <c r="FV4" i="81"/>
  <c r="GT4" i="81"/>
  <c r="FJ4" i="81"/>
  <c r="GE5" i="81"/>
  <c r="GQ5" i="81"/>
  <c r="FS5" i="81"/>
  <c r="FG5" i="81"/>
  <c r="FZ5" i="81"/>
  <c r="GL5" i="81"/>
  <c r="FB5" i="81"/>
  <c r="FN5" i="81"/>
  <c r="BE5" i="23"/>
  <c r="BC5" i="23" s="1"/>
  <c r="BE6" i="23"/>
  <c r="BE4" i="23"/>
  <c r="DK4" i="23" s="1"/>
  <c r="FV4" i="23"/>
  <c r="GD4" i="23"/>
  <c r="FW4" i="23"/>
  <c r="FX4" i="23"/>
  <c r="FY4" i="23"/>
  <c r="FZ4" i="23"/>
  <c r="GC4" i="23"/>
  <c r="GA4" i="23"/>
  <c r="GB4" i="23"/>
  <c r="CM4" i="23"/>
  <c r="AQ4" i="23"/>
  <c r="K5" i="23"/>
  <c r="K6" i="23"/>
  <c r="K4" i="23"/>
  <c r="G36" i="28" s="1"/>
  <c r="HD4" i="23"/>
  <c r="HE5" i="23"/>
  <c r="HE6" i="23"/>
  <c r="FY6" i="81" l="1"/>
  <c r="FM6" i="81"/>
  <c r="GW6" i="81"/>
  <c r="FZ6" i="81"/>
  <c r="FH6" i="81"/>
  <c r="FT6" i="81"/>
  <c r="GR6" i="81"/>
  <c r="GO6" i="81"/>
  <c r="GA6" i="81"/>
  <c r="FO6" i="81"/>
  <c r="GM6" i="81"/>
  <c r="FS6" i="81"/>
  <c r="GO5" i="81"/>
  <c r="GC5" i="81"/>
  <c r="FE5" i="81"/>
  <c r="GC6" i="81"/>
  <c r="GB4" i="81"/>
  <c r="HL4" i="81"/>
  <c r="G86" i="80" s="1"/>
  <c r="FP4" i="81"/>
  <c r="FK6" i="81"/>
  <c r="FS4" i="81"/>
  <c r="GQ4" i="81"/>
  <c r="FB4" i="81"/>
  <c r="G84" i="80"/>
  <c r="G85" i="80"/>
  <c r="DC4" i="81"/>
  <c r="DD4" i="81" s="1"/>
  <c r="W4" i="81" s="1"/>
  <c r="G56" i="80" s="1"/>
  <c r="FZ4" i="81"/>
  <c r="FD4" i="81"/>
  <c r="GU4" i="81"/>
  <c r="FK4" i="81"/>
  <c r="FT4" i="81"/>
  <c r="GE4" i="81"/>
  <c r="GF4" i="81"/>
  <c r="GR4" i="81"/>
  <c r="GH6" i="81"/>
  <c r="GI6" i="81"/>
  <c r="GI4" i="81"/>
  <c r="FO4" i="81"/>
  <c r="GA4" i="81"/>
  <c r="FJ6" i="81"/>
  <c r="GU6" i="81"/>
  <c r="FV6" i="81"/>
  <c r="FL4" i="81"/>
  <c r="FE6" i="81"/>
  <c r="GV6" i="81"/>
  <c r="GL4" i="81"/>
  <c r="GV4" i="81"/>
  <c r="FX4" i="81"/>
  <c r="FG6" i="81"/>
  <c r="FB6" i="81"/>
  <c r="GQ6" i="81"/>
  <c r="GL6" i="81"/>
  <c r="FQ4" i="81"/>
  <c r="GC4" i="81"/>
  <c r="GK4" i="81"/>
  <c r="FY4" i="81"/>
  <c r="GM4" i="81"/>
  <c r="FU4" i="81"/>
  <c r="FI4" i="81"/>
  <c r="GW4" i="81"/>
  <c r="GO4" i="81"/>
  <c r="GS4" i="81"/>
  <c r="GP4" i="81"/>
  <c r="GD4" i="81"/>
  <c r="FF4" i="81"/>
  <c r="FR6" i="81"/>
  <c r="GJ6" i="81"/>
  <c r="FF6" i="81"/>
  <c r="GP6" i="81"/>
  <c r="FX6" i="81"/>
  <c r="HO4" i="81"/>
  <c r="HN4" i="81" s="1"/>
  <c r="G87" i="80"/>
  <c r="U6" i="81"/>
  <c r="FD6" i="81"/>
  <c r="FP6" i="81"/>
  <c r="GN6" i="81"/>
  <c r="V6" i="81"/>
  <c r="DE6" i="81"/>
  <c r="DD6" i="81"/>
  <c r="W6" i="81" s="1"/>
  <c r="DD5" i="81"/>
  <c r="W5" i="81" s="1"/>
  <c r="DE5" i="81"/>
  <c r="V5" i="81"/>
  <c r="BC4" i="23"/>
  <c r="BN4" i="23" s="1"/>
  <c r="CZ4" i="23" s="1"/>
  <c r="BC6" i="23"/>
  <c r="BN6" i="23" s="1"/>
  <c r="BN5" i="23"/>
  <c r="DA5" i="23" s="1"/>
  <c r="DG4" i="23"/>
  <c r="DG6" i="23"/>
  <c r="DI6" i="23"/>
  <c r="DU6" i="23" s="1"/>
  <c r="EG6" i="23" s="1"/>
  <c r="FQ6" i="23" s="1"/>
  <c r="DD4" i="23"/>
  <c r="DI4" i="23"/>
  <c r="DI5" i="23"/>
  <c r="DU5" i="23" s="1"/>
  <c r="EG5" i="23" s="1"/>
  <c r="DJ6" i="23"/>
  <c r="DV6" i="23" s="1"/>
  <c r="EH6" i="23" s="1"/>
  <c r="ET6" i="23" s="1"/>
  <c r="DJ5" i="23"/>
  <c r="DV5" i="23" s="1"/>
  <c r="EH5" i="23" s="1"/>
  <c r="FR5" i="23" s="1"/>
  <c r="DG5" i="23"/>
  <c r="DK5" i="23"/>
  <c r="DW5" i="23" s="1"/>
  <c r="EI5" i="23" s="1"/>
  <c r="FS5" i="23" s="1"/>
  <c r="DH6" i="23"/>
  <c r="DT6" i="23" s="1"/>
  <c r="EF6" i="23" s="1"/>
  <c r="FD6" i="23" s="1"/>
  <c r="DK6" i="23"/>
  <c r="DW6" i="23" s="1"/>
  <c r="EI6" i="23" s="1"/>
  <c r="FS6" i="23" s="1"/>
  <c r="DC5" i="23"/>
  <c r="DH5" i="23"/>
  <c r="DT5" i="23" s="1"/>
  <c r="EF5" i="23" s="1"/>
  <c r="DF5" i="23"/>
  <c r="DE6" i="23"/>
  <c r="DE5" i="23"/>
  <c r="DD5" i="23"/>
  <c r="DB5" i="23"/>
  <c r="DF6" i="23"/>
  <c r="DB6" i="23"/>
  <c r="DC6" i="23"/>
  <c r="DD6" i="23"/>
  <c r="DE4" i="23"/>
  <c r="DB4" i="23"/>
  <c r="DF4" i="23"/>
  <c r="DJ4" i="23"/>
  <c r="DC4" i="23"/>
  <c r="DH4" i="23"/>
  <c r="IB5" i="23"/>
  <c r="HX5" i="23" s="1"/>
  <c r="IB6" i="23"/>
  <c r="IB4" i="23"/>
  <c r="IC5" i="23"/>
  <c r="HY5" i="23" s="1"/>
  <c r="HV5" i="23" s="1"/>
  <c r="IC6" i="23"/>
  <c r="IC4" i="23"/>
  <c r="DW4" i="23"/>
  <c r="EI4" i="23" s="1"/>
  <c r="FS4" i="23" s="1"/>
  <c r="GV4" i="23"/>
  <c r="HH4" i="23" s="1"/>
  <c r="CC5" i="23"/>
  <c r="L5" i="23" s="1"/>
  <c r="CC6" i="23"/>
  <c r="L6" i="23" s="1"/>
  <c r="BZ4" i="23"/>
  <c r="CL4" i="23"/>
  <c r="U4" i="23" s="1"/>
  <c r="IM4" i="23"/>
  <c r="IK4" i="23" s="1"/>
  <c r="IG4" i="23" s="1"/>
  <c r="IL4" i="23"/>
  <c r="BY4" i="23"/>
  <c r="G84" i="28"/>
  <c r="HE4" i="23"/>
  <c r="HY4" i="23" l="1"/>
  <c r="HV4" i="23" s="1"/>
  <c r="HX4" i="23"/>
  <c r="HS4" i="23" s="1"/>
  <c r="DE4" i="81"/>
  <c r="DF4" i="81" s="1"/>
  <c r="X4" i="81" s="1"/>
  <c r="G58" i="80" s="1"/>
  <c r="V4" i="81"/>
  <c r="G48" i="80" s="1"/>
  <c r="CC4" i="23"/>
  <c r="L4" i="23" s="1"/>
  <c r="DA4" i="23"/>
  <c r="DM4" i="23" s="1"/>
  <c r="DY4" i="23" s="1"/>
  <c r="FI4" i="23" s="1"/>
  <c r="G89" i="80"/>
  <c r="G88" i="80"/>
  <c r="HX6" i="23"/>
  <c r="HS6" i="23" s="1"/>
  <c r="HY6" i="23"/>
  <c r="HV6" i="23" s="1"/>
  <c r="DF5" i="81"/>
  <c r="X5" i="81" s="1"/>
  <c r="DJ5" i="81"/>
  <c r="AE5" i="81" s="1"/>
  <c r="DK5" i="81"/>
  <c r="AD5" i="81" s="1"/>
  <c r="DI5" i="81"/>
  <c r="AC5" i="81" s="1"/>
  <c r="DG5" i="81"/>
  <c r="DH5" i="81"/>
  <c r="AB5" i="81" s="1"/>
  <c r="DF6" i="81"/>
  <c r="X6" i="81" s="1"/>
  <c r="DH6" i="81"/>
  <c r="AB6" i="81" s="1"/>
  <c r="DK6" i="81"/>
  <c r="AD6" i="81" s="1"/>
  <c r="DG6" i="81"/>
  <c r="DJ6" i="81"/>
  <c r="AE6" i="81" s="1"/>
  <c r="DI6" i="81"/>
  <c r="AC6" i="81" s="1"/>
  <c r="CZ5" i="23"/>
  <c r="DL5" i="23" s="1"/>
  <c r="DX5" i="23" s="1"/>
  <c r="CD5" i="23"/>
  <c r="CE5" i="23" s="1"/>
  <c r="N5" i="23"/>
  <c r="CD6" i="23"/>
  <c r="CE6" i="23" s="1"/>
  <c r="N6" i="23"/>
  <c r="CZ6" i="23"/>
  <c r="DL6" i="23" s="1"/>
  <c r="DX6" i="23" s="1"/>
  <c r="DA6" i="23"/>
  <c r="EU6" i="23"/>
  <c r="FG6" i="23"/>
  <c r="EU5" i="23"/>
  <c r="FG5" i="23"/>
  <c r="EU4" i="23"/>
  <c r="FG4" i="23"/>
  <c r="GT4" i="23"/>
  <c r="HF4" i="23" s="1"/>
  <c r="HA4" i="23"/>
  <c r="HM4" i="23" s="1"/>
  <c r="GU4" i="23"/>
  <c r="HG4" i="23" s="1"/>
  <c r="GZ4" i="23"/>
  <c r="HL4" i="23" s="1"/>
  <c r="GX4" i="23"/>
  <c r="HJ4" i="23" s="1"/>
  <c r="GY4" i="23"/>
  <c r="HK4" i="23" s="1"/>
  <c r="GW4" i="23"/>
  <c r="HI4" i="23" s="1"/>
  <c r="HB4" i="23"/>
  <c r="HN4" i="23" s="1"/>
  <c r="IF4" i="23"/>
  <c r="G86" i="28" s="1"/>
  <c r="DL4" i="23"/>
  <c r="DX4" i="23" s="1"/>
  <c r="EV4" i="23" s="1"/>
  <c r="V4" i="23"/>
  <c r="G60" i="28" s="1"/>
  <c r="IJ4" i="23"/>
  <c r="IE4" i="23" s="1"/>
  <c r="HS5" i="23"/>
  <c r="HU5" i="23"/>
  <c r="HW5" i="23"/>
  <c r="G57" i="28"/>
  <c r="ES5" i="23"/>
  <c r="FQ5" i="23"/>
  <c r="FE5" i="23"/>
  <c r="FD5" i="23"/>
  <c r="FP5" i="23"/>
  <c r="FP6" i="23"/>
  <c r="FF5" i="23"/>
  <c r="ET5" i="23"/>
  <c r="ER5" i="23"/>
  <c r="ES6" i="23"/>
  <c r="FE6" i="23"/>
  <c r="ER6" i="23"/>
  <c r="FR6" i="23"/>
  <c r="FF6" i="23"/>
  <c r="DT4" i="23"/>
  <c r="EF4" i="23" s="1"/>
  <c r="DU4" i="23"/>
  <c r="EG4" i="23" s="1"/>
  <c r="ES4" i="23" s="1"/>
  <c r="DV4" i="23"/>
  <c r="EH4" i="23" s="1"/>
  <c r="FF4" i="23" s="1"/>
  <c r="DK4" i="81" l="1"/>
  <c r="AD4" i="81" s="1"/>
  <c r="G66" i="80" s="1"/>
  <c r="DG4" i="81"/>
  <c r="AA4" i="81" s="1"/>
  <c r="G62" i="80" s="1"/>
  <c r="DI4" i="81"/>
  <c r="AC4" i="81" s="1"/>
  <c r="G65" i="80" s="1"/>
  <c r="DH4" i="81"/>
  <c r="AB4" i="81" s="1"/>
  <c r="G63" i="80" s="1"/>
  <c r="DJ4" i="81"/>
  <c r="AE4" i="81" s="1"/>
  <c r="CD4" i="23"/>
  <c r="CE4" i="23" s="1"/>
  <c r="CF4" i="23" s="1"/>
  <c r="O4" i="23" s="1"/>
  <c r="G48" i="28" s="1"/>
  <c r="N4" i="23"/>
  <c r="G46" i="28" s="1"/>
  <c r="AA5" i="81"/>
  <c r="AA6" i="81"/>
  <c r="CH6" i="23"/>
  <c r="S6" i="23" s="1"/>
  <c r="CF6" i="23"/>
  <c r="O6" i="23" s="1"/>
  <c r="CH5" i="23"/>
  <c r="S5" i="23" s="1"/>
  <c r="CF5" i="23"/>
  <c r="O5" i="23" s="1"/>
  <c r="M6" i="23"/>
  <c r="M5" i="23"/>
  <c r="CG5" i="23"/>
  <c r="R5" i="23" s="1"/>
  <c r="CI5" i="23"/>
  <c r="T5" i="23" s="1"/>
  <c r="CI6" i="23"/>
  <c r="T6" i="23" s="1"/>
  <c r="CG6" i="23"/>
  <c r="HT5" i="23"/>
  <c r="G85" i="28"/>
  <c r="EJ6" i="23"/>
  <c r="EV6" i="23"/>
  <c r="FH6" i="23"/>
  <c r="EV5" i="23"/>
  <c r="EJ5" i="23"/>
  <c r="FH5" i="23"/>
  <c r="ID4" i="23"/>
  <c r="HR5" i="23"/>
  <c r="HU4" i="23"/>
  <c r="HW4" i="23"/>
  <c r="G74" i="28" s="1"/>
  <c r="HU6" i="23"/>
  <c r="HT6" i="23"/>
  <c r="HR6" i="23"/>
  <c r="DO5" i="23"/>
  <c r="EA5" i="23" s="1"/>
  <c r="DS5" i="23"/>
  <c r="EE5" i="23" s="1"/>
  <c r="DN4" i="23"/>
  <c r="DZ4" i="23" s="1"/>
  <c r="EX4" i="23" s="1"/>
  <c r="DS6" i="23"/>
  <c r="EE6" i="23" s="1"/>
  <c r="DO6" i="23"/>
  <c r="EA6" i="23" s="1"/>
  <c r="DS4" i="23"/>
  <c r="EE4" i="23" s="1"/>
  <c r="EW4" i="23"/>
  <c r="EJ4" i="23"/>
  <c r="FH4" i="23"/>
  <c r="ET4" i="23"/>
  <c r="FR4" i="23"/>
  <c r="EK4" i="23"/>
  <c r="ER4" i="23"/>
  <c r="FD4" i="23"/>
  <c r="FE4" i="23"/>
  <c r="FP4" i="23"/>
  <c r="FQ4" i="23"/>
  <c r="CH4" i="23" l="1"/>
  <c r="S4" i="23" s="1"/>
  <c r="CI4" i="23"/>
  <c r="T4" i="23" s="1"/>
  <c r="M4" i="23"/>
  <c r="CG4" i="23"/>
  <c r="R4" i="23" s="1"/>
  <c r="R6" i="23"/>
  <c r="G83" i="28"/>
  <c r="G82" i="28"/>
  <c r="G81" i="28"/>
  <c r="G75" i="28"/>
  <c r="G76" i="28"/>
  <c r="HT4" i="23"/>
  <c r="G71" i="28" s="1"/>
  <c r="HR4" i="23"/>
  <c r="HW6" i="23"/>
  <c r="EL4" i="23"/>
  <c r="FJ4" i="23"/>
  <c r="DR4" i="23"/>
  <c r="ED4" i="23" s="1"/>
  <c r="FN4" i="23" s="1"/>
  <c r="DQ4" i="23"/>
  <c r="EC4" i="23" s="1"/>
  <c r="FA4" i="23" s="1"/>
  <c r="FK5" i="23"/>
  <c r="EM5" i="23"/>
  <c r="EY5" i="23"/>
  <c r="FO6" i="23"/>
  <c r="FC6" i="23"/>
  <c r="EQ6" i="23"/>
  <c r="EY6" i="23"/>
  <c r="EM6" i="23"/>
  <c r="FK6" i="23"/>
  <c r="EQ5" i="23"/>
  <c r="FC5" i="23"/>
  <c r="FO5" i="23"/>
  <c r="DO4" i="23"/>
  <c r="EA4" i="23" s="1"/>
  <c r="DP4" i="23"/>
  <c r="EB4" i="23" s="1"/>
  <c r="FO4" i="23"/>
  <c r="EQ4" i="23"/>
  <c r="FC4" i="23"/>
  <c r="G38" i="28" l="1"/>
  <c r="G72" i="28"/>
  <c r="G73" i="28"/>
  <c r="FB4" i="23"/>
  <c r="FM4" i="23"/>
  <c r="EP4" i="23"/>
  <c r="EO4" i="23"/>
  <c r="EN4" i="23"/>
  <c r="EZ4" i="23"/>
  <c r="FL4" i="23"/>
  <c r="EM4" i="23"/>
  <c r="FK4" i="23"/>
  <c r="EY4" i="23"/>
  <c r="BQ5" i="21"/>
  <c r="BQ6" i="21"/>
  <c r="G53" i="28" l="1"/>
  <c r="G54" i="28"/>
  <c r="G52" i="28" l="1"/>
  <c r="AH6" i="21" l="1"/>
  <c r="BJ6" i="21" s="1"/>
  <c r="AG6" i="21"/>
  <c r="BG6" i="21" s="1"/>
  <c r="AF6" i="21"/>
  <c r="AE6" i="21"/>
  <c r="BA6" i="21" s="1"/>
  <c r="AH5" i="21"/>
  <c r="AG5" i="21"/>
  <c r="BG5" i="21" s="1"/>
  <c r="AF5" i="21"/>
  <c r="AE5" i="21"/>
  <c r="BA5" i="21" s="1"/>
  <c r="BW5" i="21" l="1"/>
  <c r="BS5" i="21" s="1"/>
  <c r="BJ5" i="21"/>
  <c r="BW6" i="21"/>
  <c r="BS6" i="21" s="1"/>
  <c r="BO5" i="21"/>
  <c r="BO6" i="21"/>
  <c r="AJ5" i="21"/>
  <c r="AK5" i="21"/>
  <c r="AI5" i="21"/>
  <c r="AN6" i="21"/>
  <c r="AR6" i="21" s="1"/>
  <c r="AI6" i="21"/>
  <c r="BC6" i="21" s="1"/>
  <c r="AJ6" i="21"/>
  <c r="AK6" i="21"/>
  <c r="AM5" i="21"/>
  <c r="AM6" i="21"/>
  <c r="AL6" i="21"/>
  <c r="AL5" i="21"/>
  <c r="AN5" i="21"/>
  <c r="AR5" i="21" s="1"/>
  <c r="FW6" i="21" l="1"/>
  <c r="GI6" i="21" s="1"/>
  <c r="FX6" i="21"/>
  <c r="GJ6" i="21" s="1"/>
  <c r="FV6" i="21"/>
  <c r="GH6" i="21" s="1"/>
  <c r="FY6" i="21"/>
  <c r="GK6" i="21" s="1"/>
  <c r="FZ6" i="21"/>
  <c r="GL6" i="21" s="1"/>
  <c r="GD6" i="21"/>
  <c r="GP6" i="21" s="1"/>
  <c r="GA6" i="21"/>
  <c r="GM6" i="21" s="1"/>
  <c r="GB6" i="21"/>
  <c r="GN6" i="21" s="1"/>
  <c r="FU6" i="21"/>
  <c r="GG6" i="21" s="1"/>
  <c r="GC6" i="21"/>
  <c r="GO6" i="21" s="1"/>
  <c r="GA5" i="21"/>
  <c r="GM5" i="21" s="1"/>
  <c r="GB5" i="21"/>
  <c r="GN5" i="21" s="1"/>
  <c r="FU5" i="21"/>
  <c r="GG5" i="21" s="1"/>
  <c r="GC5" i="21"/>
  <c r="GO5" i="21" s="1"/>
  <c r="FV5" i="21"/>
  <c r="GH5" i="21" s="1"/>
  <c r="GD5" i="21"/>
  <c r="GP5" i="21" s="1"/>
  <c r="FW5" i="21"/>
  <c r="GI5" i="21" s="1"/>
  <c r="FX5" i="21"/>
  <c r="GJ5" i="21" s="1"/>
  <c r="FZ5" i="21"/>
  <c r="GL5" i="21" s="1"/>
  <c r="FY5" i="21"/>
  <c r="GK5" i="21" s="1"/>
  <c r="HI6" i="21"/>
  <c r="HD6" i="21" s="1"/>
  <c r="HC6" i="21" s="1"/>
  <c r="HJ6" i="21"/>
  <c r="HJ5" i="21"/>
  <c r="HI5" i="21"/>
  <c r="HD5" i="21" s="1"/>
  <c r="HC5" i="21" s="1"/>
  <c r="CL6" i="21"/>
  <c r="CL5" i="21"/>
  <c r="X5" i="21" s="1"/>
  <c r="BC5" i="21"/>
  <c r="BR6" i="21"/>
  <c r="V6" i="21" s="1"/>
  <c r="GY5" i="21"/>
  <c r="GZ5" i="21"/>
  <c r="GY6" i="21"/>
  <c r="GZ6" i="21"/>
  <c r="BR5" i="21"/>
  <c r="V5" i="21" s="1"/>
  <c r="BP6" i="21"/>
  <c r="BP5" i="21"/>
  <c r="BB5" i="21"/>
  <c r="BB6" i="21"/>
  <c r="AQ6" i="21"/>
  <c r="AS6" i="21" s="1"/>
  <c r="AQ5" i="21"/>
  <c r="AS5" i="21" s="1"/>
  <c r="CK6" i="21" l="1"/>
  <c r="W6" i="21" s="1"/>
  <c r="X6" i="21"/>
  <c r="BD5" i="21"/>
  <c r="BE5" i="21"/>
  <c r="BM5" i="21" s="1"/>
  <c r="BD6" i="21"/>
  <c r="BE6" i="21"/>
  <c r="BM6" i="21" s="1"/>
  <c r="HF5" i="21"/>
  <c r="HE5" i="21" s="1"/>
  <c r="HF6" i="21"/>
  <c r="HE6" i="21" s="1"/>
  <c r="CK5" i="21"/>
  <c r="W5" i="21" s="1"/>
  <c r="HB6" i="21" l="1"/>
  <c r="HA5" i="21"/>
  <c r="GW5" i="21" s="1"/>
  <c r="GT5" i="21" s="1"/>
  <c r="GS5" i="21" s="1"/>
  <c r="DD6" i="21"/>
  <c r="DP6" i="21" s="1"/>
  <c r="EB6" i="21" s="1"/>
  <c r="DE6" i="21"/>
  <c r="DQ6" i="21" s="1"/>
  <c r="EC6" i="21" s="1"/>
  <c r="DF6" i="21"/>
  <c r="DR6" i="21" s="1"/>
  <c r="ED6" i="21" s="1"/>
  <c r="DH6" i="21"/>
  <c r="DT6" i="21" s="1"/>
  <c r="EF6" i="21" s="1"/>
  <c r="CY6" i="21"/>
  <c r="DK6" i="21" s="1"/>
  <c r="DW6" i="21" s="1"/>
  <c r="FG6" i="21" s="1"/>
  <c r="DG6" i="21"/>
  <c r="DS6" i="21" s="1"/>
  <c r="EE6" i="21" s="1"/>
  <c r="FO6" i="21" s="1"/>
  <c r="CZ6" i="21"/>
  <c r="DC6" i="21"/>
  <c r="DO6" i="21" s="1"/>
  <c r="EA6" i="21" s="1"/>
  <c r="FK6" i="21" s="1"/>
  <c r="DA6" i="21"/>
  <c r="DI6" i="21"/>
  <c r="DU6" i="21" s="1"/>
  <c r="EG6" i="21" s="1"/>
  <c r="DB6" i="21"/>
  <c r="DJ6" i="21"/>
  <c r="DV6" i="21" s="1"/>
  <c r="EH6" i="21" s="1"/>
  <c r="CZ5" i="21"/>
  <c r="DH5" i="21"/>
  <c r="DT5" i="21" s="1"/>
  <c r="EF5" i="21" s="1"/>
  <c r="DA5" i="21"/>
  <c r="DI5" i="21"/>
  <c r="DU5" i="21" s="1"/>
  <c r="EG5" i="21" s="1"/>
  <c r="DB5" i="21"/>
  <c r="DJ5" i="21"/>
  <c r="DV5" i="21" s="1"/>
  <c r="EH5" i="21" s="1"/>
  <c r="FR5" i="21" s="1"/>
  <c r="DD5" i="21"/>
  <c r="DP5" i="21" s="1"/>
  <c r="EB5" i="21" s="1"/>
  <c r="DG5" i="21"/>
  <c r="DS5" i="21" s="1"/>
  <c r="EE5" i="21" s="1"/>
  <c r="DC5" i="21"/>
  <c r="DO5" i="21" s="1"/>
  <c r="EA5" i="21" s="1"/>
  <c r="DE5" i="21"/>
  <c r="DQ5" i="21" s="1"/>
  <c r="EC5" i="21" s="1"/>
  <c r="DF5" i="21"/>
  <c r="DR5" i="21" s="1"/>
  <c r="ED5" i="21" s="1"/>
  <c r="CY5" i="21"/>
  <c r="DK5" i="21" s="1"/>
  <c r="DW5" i="21" s="1"/>
  <c r="FG5" i="21" s="1"/>
  <c r="AZ6" i="21"/>
  <c r="CB6" i="21"/>
  <c r="O6" i="21" s="1"/>
  <c r="AZ5" i="21"/>
  <c r="CB5" i="21"/>
  <c r="O5" i="21" s="1"/>
  <c r="HB5" i="21"/>
  <c r="HA6" i="21"/>
  <c r="GW6" i="21" s="1"/>
  <c r="GT6" i="21" s="1"/>
  <c r="GS6" i="21" s="1"/>
  <c r="BF5" i="21"/>
  <c r="BF6" i="21"/>
  <c r="FR6" i="21" l="1"/>
  <c r="FF6" i="21"/>
  <c r="ET5" i="21"/>
  <c r="FF5" i="21"/>
  <c r="ET6" i="21"/>
  <c r="GX5" i="21"/>
  <c r="GX6" i="21"/>
  <c r="DN6" i="21"/>
  <c r="DZ6" i="21" s="1"/>
  <c r="FJ6" i="21" s="1"/>
  <c r="BN6" i="21"/>
  <c r="DL6" i="21"/>
  <c r="DX6" i="21" s="1"/>
  <c r="FH6" i="21" s="1"/>
  <c r="BN5" i="21"/>
  <c r="DL5" i="21"/>
  <c r="DX5" i="21" s="1"/>
  <c r="EV5" i="21" s="1"/>
  <c r="M6" i="21"/>
  <c r="M5" i="21"/>
  <c r="DM6" i="21"/>
  <c r="DY6" i="21" s="1"/>
  <c r="FI6" i="21" s="1"/>
  <c r="CC5" i="21"/>
  <c r="CD5" i="21" s="1"/>
  <c r="CC6" i="21"/>
  <c r="CD6" i="21" s="1"/>
  <c r="FA6" i="21"/>
  <c r="FM6" i="21"/>
  <c r="ES5" i="21"/>
  <c r="FQ5" i="21"/>
  <c r="FE5" i="21"/>
  <c r="FB5" i="21"/>
  <c r="FN5" i="21"/>
  <c r="EZ5" i="21"/>
  <c r="FL5" i="21"/>
  <c r="FC5" i="21"/>
  <c r="FO5" i="21"/>
  <c r="EO5" i="21"/>
  <c r="FM5" i="21"/>
  <c r="FE6" i="21"/>
  <c r="FQ6" i="21"/>
  <c r="FP6" i="21"/>
  <c r="FD6" i="21"/>
  <c r="FB6" i="21"/>
  <c r="FN6" i="21"/>
  <c r="EM5" i="21"/>
  <c r="FK5" i="21"/>
  <c r="EZ6" i="21"/>
  <c r="FL6" i="21"/>
  <c r="ER5" i="21"/>
  <c r="FD5" i="21"/>
  <c r="FP5" i="21"/>
  <c r="ES6" i="21"/>
  <c r="EY5" i="21"/>
  <c r="FA5" i="21"/>
  <c r="EI5" i="21"/>
  <c r="EN5" i="21"/>
  <c r="EP5" i="21"/>
  <c r="EU5" i="21"/>
  <c r="EN6" i="21"/>
  <c r="EP6" i="21"/>
  <c r="EO6" i="21"/>
  <c r="ER6" i="21"/>
  <c r="EQ5" i="21"/>
  <c r="EM6" i="21"/>
  <c r="EY6" i="21"/>
  <c r="FC6" i="21"/>
  <c r="EQ6" i="21"/>
  <c r="DM5" i="21"/>
  <c r="DY5" i="21" s="1"/>
  <c r="FI5" i="21" s="1"/>
  <c r="EU6" i="21"/>
  <c r="DN5" i="21"/>
  <c r="DZ5" i="21" s="1"/>
  <c r="EX5" i="21" s="1"/>
  <c r="EI6" i="21"/>
  <c r="CH6" i="21" l="1"/>
  <c r="CE6" i="21"/>
  <c r="P6" i="21" s="1"/>
  <c r="CH5" i="21"/>
  <c r="CE5" i="21"/>
  <c r="P5" i="21" s="1"/>
  <c r="GV6" i="21"/>
  <c r="GU6" i="21" s="1"/>
  <c r="GV5" i="21"/>
  <c r="GU5" i="21" s="1"/>
  <c r="CF6" i="21"/>
  <c r="CG6" i="21"/>
  <c r="CF5" i="21"/>
  <c r="CG5" i="21"/>
  <c r="EJ5" i="21"/>
  <c r="EX6" i="21"/>
  <c r="EL6" i="21"/>
  <c r="FH5" i="21"/>
  <c r="EJ6" i="21"/>
  <c r="EW6" i="21"/>
  <c r="EV6" i="21"/>
  <c r="EK6" i="21"/>
  <c r="EL5" i="21"/>
  <c r="EK5" i="21"/>
  <c r="FJ5" i="21"/>
  <c r="EW5" i="21"/>
  <c r="N6" i="21" l="1"/>
  <c r="N5" i="21"/>
  <c r="AB6" i="19"/>
  <c r="R6" i="19"/>
  <c r="AB5" i="19"/>
  <c r="R5" i="19"/>
  <c r="CW4" i="19"/>
  <c r="AB4" i="19" s="1"/>
  <c r="J28" i="17"/>
  <c r="K28" i="17"/>
  <c r="J29" i="17"/>
  <c r="K29" i="17"/>
  <c r="J30" i="17"/>
  <c r="K30" i="17"/>
  <c r="J31" i="17"/>
  <c r="K31" i="17"/>
  <c r="J32" i="17"/>
  <c r="K32" i="17"/>
  <c r="J33" i="17"/>
  <c r="K33" i="17"/>
  <c r="J34" i="17"/>
  <c r="K34" i="17"/>
  <c r="K27" i="17"/>
  <c r="J27" i="17"/>
  <c r="F28" i="17"/>
  <c r="F29" i="17"/>
  <c r="F30" i="17"/>
  <c r="F31" i="17"/>
  <c r="F32" i="17"/>
  <c r="F33" i="17"/>
  <c r="F34" i="17"/>
  <c r="F27" i="17"/>
  <c r="E28" i="17"/>
  <c r="E29" i="17"/>
  <c r="E30" i="17"/>
  <c r="E31" i="17"/>
  <c r="E32" i="17"/>
  <c r="E33" i="17"/>
  <c r="E34" i="17"/>
  <c r="E27" i="17"/>
  <c r="I28" i="17"/>
  <c r="I29" i="17"/>
  <c r="I30" i="17"/>
  <c r="I31" i="17"/>
  <c r="I32" i="17"/>
  <c r="I33" i="17"/>
  <c r="I34" i="17"/>
  <c r="I27" i="17"/>
  <c r="D28" i="17"/>
  <c r="D29" i="17"/>
  <c r="D30" i="17"/>
  <c r="D31" i="17"/>
  <c r="D32" i="17"/>
  <c r="D33" i="17"/>
  <c r="D34" i="17"/>
  <c r="D27" i="17"/>
  <c r="H28" i="17"/>
  <c r="H29" i="17"/>
  <c r="H30" i="17"/>
  <c r="H31" i="17"/>
  <c r="H32" i="17"/>
  <c r="H33" i="17"/>
  <c r="H34" i="17"/>
  <c r="C28" i="17"/>
  <c r="C29" i="17"/>
  <c r="C30" i="17"/>
  <c r="C31" i="17"/>
  <c r="C32" i="17"/>
  <c r="C33" i="17"/>
  <c r="C34" i="17"/>
  <c r="H27" i="17"/>
  <c r="C27" i="17"/>
  <c r="CK4" i="19"/>
  <c r="R4" i="19" s="1"/>
  <c r="B24" i="15"/>
  <c r="A23" i="15"/>
  <c r="BA4" i="19" l="1"/>
  <c r="BA6" i="19"/>
  <c r="BE6" i="19"/>
  <c r="AW5" i="23"/>
  <c r="BD4" i="19"/>
  <c r="BD6" i="19"/>
  <c r="BC6" i="19"/>
  <c r="BB4" i="19"/>
  <c r="AZ4" i="19"/>
  <c r="BC5" i="19"/>
  <c r="BA5" i="19"/>
  <c r="BD5" i="19"/>
  <c r="BB5" i="19"/>
  <c r="BG6" i="81"/>
  <c r="BE4" i="19"/>
  <c r="AW6" i="23"/>
  <c r="BH4" i="81"/>
  <c r="AS4" i="23"/>
  <c r="BL4" i="81"/>
  <c r="BJ4" i="81"/>
  <c r="BN5" i="81"/>
  <c r="BN4" i="81"/>
  <c r="AW4" i="23"/>
  <c r="BK4" i="81"/>
  <c r="BG4" i="81"/>
  <c r="BC4" i="19"/>
  <c r="AZ6" i="19"/>
  <c r="AZ5" i="19"/>
  <c r="BK5" i="81"/>
  <c r="BH5" i="81"/>
  <c r="BL5" i="81"/>
  <c r="BJ5" i="81"/>
  <c r="BE5" i="19"/>
  <c r="BN6" i="81"/>
  <c r="BB6" i="19"/>
  <c r="BG5" i="81"/>
  <c r="BK6" i="81"/>
  <c r="BH6" i="81"/>
  <c r="BL6" i="81"/>
  <c r="BJ6" i="81"/>
  <c r="AG6" i="69"/>
  <c r="BA6" i="69" s="1"/>
  <c r="N6" i="69" s="1"/>
  <c r="BB6" i="66"/>
  <c r="BB5" i="66"/>
  <c r="AR6" i="23"/>
  <c r="AT6" i="21"/>
  <c r="BC4" i="66"/>
  <c r="BG4" i="66"/>
  <c r="AT4" i="21"/>
  <c r="AR4" i="23"/>
  <c r="BB4" i="66"/>
  <c r="AU4" i="21"/>
  <c r="AX4" i="21"/>
  <c r="AV4" i="23"/>
  <c r="AV4" i="21"/>
  <c r="AT4" i="23"/>
  <c r="AY4" i="21"/>
  <c r="BF4" i="66"/>
  <c r="AW4" i="21"/>
  <c r="AU4" i="23"/>
  <c r="AJ5" i="69"/>
  <c r="AJ4" i="69"/>
  <c r="AU5" i="23"/>
  <c r="AW5" i="21"/>
  <c r="AH5" i="69"/>
  <c r="AH4" i="69"/>
  <c r="AS5" i="23"/>
  <c r="AU5" i="21"/>
  <c r="AK5" i="69"/>
  <c r="AK4" i="69"/>
  <c r="AV5" i="23"/>
  <c r="AX5" i="21"/>
  <c r="AI5" i="69"/>
  <c r="AI4" i="69"/>
  <c r="AT5" i="23"/>
  <c r="AV5" i="21"/>
  <c r="BD4" i="66"/>
  <c r="AL6" i="69"/>
  <c r="BG6" i="66"/>
  <c r="BG5" i="66"/>
  <c r="AY6" i="21"/>
  <c r="BE4" i="66"/>
  <c r="AG5" i="69"/>
  <c r="AG4" i="69"/>
  <c r="AR5" i="23"/>
  <c r="AT5" i="21"/>
  <c r="AJ6" i="69"/>
  <c r="BB6" i="69" s="1"/>
  <c r="O6" i="69" s="1"/>
  <c r="BE6" i="66"/>
  <c r="BE5" i="66"/>
  <c r="AU6" i="23"/>
  <c r="AW6" i="21"/>
  <c r="AH6" i="69"/>
  <c r="BC6" i="66"/>
  <c r="BC5" i="66"/>
  <c r="AS6" i="23"/>
  <c r="AU6" i="21"/>
  <c r="AK6" i="69"/>
  <c r="BF5" i="66"/>
  <c r="BF6" i="66"/>
  <c r="AV6" i="23"/>
  <c r="AX6" i="21"/>
  <c r="AI6" i="69"/>
  <c r="BD6" i="66"/>
  <c r="BD5" i="66"/>
  <c r="AT6" i="23"/>
  <c r="AV6" i="21"/>
  <c r="AL5" i="69"/>
  <c r="AL4" i="69"/>
  <c r="AY5" i="21"/>
  <c r="T6" i="21"/>
  <c r="U6" i="21"/>
  <c r="T5" i="21"/>
  <c r="U5" i="21"/>
  <c r="CF5" i="98" l="1"/>
  <c r="V5" i="98" s="1"/>
  <c r="CF6" i="98"/>
  <c r="V6" i="98" s="1"/>
  <c r="CG6" i="98"/>
  <c r="W6" i="98" s="1"/>
  <c r="CG5" i="98"/>
  <c r="W5" i="98" s="1"/>
  <c r="BB4" i="69"/>
  <c r="O4" i="69" s="1"/>
  <c r="G44" i="68" s="1"/>
  <c r="BA4" i="69"/>
  <c r="BA5" i="69"/>
  <c r="N5" i="69" s="1"/>
  <c r="CT6" i="19"/>
  <c r="BB5" i="69"/>
  <c r="O5" i="69" s="1"/>
  <c r="HK4" i="81"/>
  <c r="DM4" i="81"/>
  <c r="Z4" i="81" s="1"/>
  <c r="G53" i="80" s="1"/>
  <c r="HJ5" i="81"/>
  <c r="DL5" i="81"/>
  <c r="Y5" i="81" s="1"/>
  <c r="GS6" i="19"/>
  <c r="HJ6" i="81"/>
  <c r="DL6" i="81"/>
  <c r="Y6" i="81" s="1"/>
  <c r="GS5" i="19"/>
  <c r="CT5" i="19"/>
  <c r="HK6" i="81"/>
  <c r="DM6" i="81"/>
  <c r="Z6" i="81" s="1"/>
  <c r="GR5" i="19"/>
  <c r="CS5" i="19"/>
  <c r="HK5" i="81"/>
  <c r="DM5" i="81"/>
  <c r="Z5" i="81" s="1"/>
  <c r="GR6" i="19"/>
  <c r="CS6" i="19"/>
  <c r="HJ4" i="81"/>
  <c r="DL4" i="81"/>
  <c r="Y4" i="81" s="1"/>
  <c r="G51" i="80" s="1"/>
  <c r="EB6" i="69"/>
  <c r="EA6" i="69"/>
  <c r="EB5" i="69"/>
  <c r="EA5" i="69"/>
  <c r="EC6" i="69"/>
  <c r="EC5" i="69"/>
  <c r="EC4" i="69"/>
  <c r="N4" i="69"/>
  <c r="G42" i="68" s="1"/>
  <c r="EB4" i="69"/>
  <c r="AE5" i="19"/>
  <c r="CK4" i="23"/>
  <c r="Q4" i="23" s="1"/>
  <c r="G43" i="28" s="1"/>
  <c r="CK5" i="23"/>
  <c r="Q5" i="23" s="1"/>
  <c r="CJ5" i="23"/>
  <c r="P5" i="23" s="1"/>
  <c r="CK6" i="23"/>
  <c r="Q6" i="23" s="1"/>
  <c r="CJ6" i="23"/>
  <c r="P6" i="23" s="1"/>
  <c r="CJ4" i="23"/>
  <c r="P4" i="23" s="1"/>
  <c r="G41" i="28" s="1"/>
  <c r="GN4" i="79"/>
  <c r="GQ5" i="21"/>
  <c r="GN5" i="79"/>
  <c r="GR6" i="21"/>
  <c r="GQ4" i="21"/>
  <c r="GR4" i="21"/>
  <c r="GR5" i="21"/>
  <c r="GQ6" i="21"/>
  <c r="GM5" i="79"/>
  <c r="GN6" i="79"/>
  <c r="GM6" i="79"/>
  <c r="GM4" i="79"/>
  <c r="CJ4" i="21"/>
  <c r="R4" i="21" s="1"/>
  <c r="G42" i="65" s="1"/>
  <c r="CI4" i="21"/>
  <c r="Q4" i="21" s="1"/>
  <c r="G40" i="65" s="1"/>
  <c r="CE4" i="79"/>
  <c r="G43" i="78" s="1"/>
  <c r="CD5" i="79"/>
  <c r="R5" i="79" s="1"/>
  <c r="CE6" i="79"/>
  <c r="S6" i="79" s="1"/>
  <c r="CE5" i="79"/>
  <c r="S5" i="79" s="1"/>
  <c r="CD6" i="79"/>
  <c r="R6" i="79" s="1"/>
  <c r="CD4" i="79"/>
  <c r="G41" i="78" s="1"/>
  <c r="GV5" i="66"/>
  <c r="CX5" i="66"/>
  <c r="AA5" i="66" s="1"/>
  <c r="HP6" i="23"/>
  <c r="GW5" i="66"/>
  <c r="CY5" i="66"/>
  <c r="AB5" i="66" s="1"/>
  <c r="HQ5" i="23"/>
  <c r="GV6" i="66"/>
  <c r="CX6" i="66"/>
  <c r="AA6" i="66" s="1"/>
  <c r="GW6" i="66"/>
  <c r="CY6" i="66"/>
  <c r="AB6" i="66" s="1"/>
  <c r="HP5" i="23"/>
  <c r="GW4" i="66"/>
  <c r="CY4" i="66"/>
  <c r="AB4" i="66" s="1"/>
  <c r="G54" i="67" s="1"/>
  <c r="GV4" i="66"/>
  <c r="CX4" i="66"/>
  <c r="AA4" i="66" s="1"/>
  <c r="G52" i="67" s="1"/>
  <c r="HQ6" i="23"/>
  <c r="HP4" i="23"/>
  <c r="HQ4" i="23"/>
  <c r="CJ6" i="21"/>
  <c r="R6" i="21" s="1"/>
  <c r="S6" i="21"/>
  <c r="CI6" i="21"/>
  <c r="Q6" i="21" s="1"/>
  <c r="S5" i="21"/>
  <c r="CJ5" i="21"/>
  <c r="R5" i="21" s="1"/>
  <c r="CI5" i="21"/>
  <c r="Q5" i="21" s="1"/>
  <c r="AE6" i="19" l="1"/>
  <c r="AD6" i="19"/>
  <c r="DO5" i="69"/>
  <c r="DO6" i="69"/>
  <c r="EA4" i="69"/>
  <c r="AC6" i="19"/>
  <c r="AD5" i="19"/>
  <c r="S6" i="19"/>
  <c r="S5" i="19"/>
  <c r="AC5" i="19"/>
  <c r="U5" i="19" l="1"/>
  <c r="U6" i="19"/>
  <c r="DO4" i="69"/>
  <c r="AA6" i="19" l="1"/>
  <c r="V6" i="19"/>
  <c r="AA5" i="19"/>
  <c r="V5" i="19"/>
  <c r="T5" i="19"/>
  <c r="Z6" i="19"/>
  <c r="Y6" i="19"/>
  <c r="Z5" i="19"/>
  <c r="T6" i="19"/>
  <c r="Y5" i="19"/>
  <c r="W5" i="19" l="1"/>
  <c r="X5" i="19"/>
  <c r="X6" i="19"/>
  <c r="W6" i="19"/>
  <c r="C17" i="15"/>
  <c r="B17" i="15"/>
  <c r="AX4" i="19" l="1"/>
  <c r="GX4" i="19" l="1"/>
  <c r="GY4" i="19"/>
  <c r="GR4" i="19"/>
  <c r="GS4" i="19"/>
  <c r="AW4" i="19"/>
  <c r="AY4" i="19" s="1"/>
  <c r="AQ4" i="19" l="1"/>
  <c r="BQ4" i="19" l="1"/>
  <c r="BI4" i="19" s="1"/>
  <c r="BJ4" i="19"/>
  <c r="BG4" i="19" s="1"/>
  <c r="BH4" i="19" s="1"/>
  <c r="CJ4" i="19" l="1"/>
  <c r="DW4" i="19"/>
  <c r="EI4" i="19" s="1"/>
  <c r="EU4" i="19" s="1"/>
  <c r="GE4" i="19" s="1"/>
  <c r="CL4" i="19"/>
  <c r="U4" i="19" s="1"/>
  <c r="G51" i="30" s="1"/>
  <c r="CY4" i="19"/>
  <c r="GQ4" i="19" l="1"/>
  <c r="AE4" i="19"/>
  <c r="G67" i="30" s="1"/>
  <c r="CM4" i="19"/>
  <c r="CN4" i="19" s="1"/>
  <c r="CP4" i="19" s="1"/>
  <c r="FG4" i="19"/>
  <c r="FS4" i="19"/>
  <c r="HA4" i="19"/>
  <c r="G80" i="30" s="1"/>
  <c r="CQ4" i="19" l="1"/>
  <c r="CR4" i="19"/>
  <c r="CO4" i="19"/>
  <c r="V4" i="19" s="1"/>
  <c r="G53" i="30" s="1"/>
  <c r="CX4" i="19"/>
  <c r="GZ4" i="19"/>
  <c r="GW4" i="19"/>
  <c r="CV4" i="19"/>
  <c r="T4" i="19"/>
  <c r="G43" i="30" s="1"/>
  <c r="CI4" i="19"/>
  <c r="S4" i="19" s="1"/>
  <c r="G41" i="30" s="1"/>
  <c r="DL4" i="19"/>
  <c r="DX4" i="19" s="1"/>
  <c r="EJ4" i="19" s="1"/>
  <c r="EV4" i="19" s="1"/>
  <c r="HH4" i="19"/>
  <c r="G87" i="30" s="1"/>
  <c r="DO4" i="19"/>
  <c r="DT4" i="19"/>
  <c r="DV4" i="19"/>
  <c r="DN4" i="19"/>
  <c r="DU4" i="19"/>
  <c r="DS4" i="19"/>
  <c r="DP4" i="19"/>
  <c r="DM4" i="19"/>
  <c r="DR4" i="19"/>
  <c r="DQ4" i="19"/>
  <c r="C17" i="17"/>
  <c r="C16" i="17"/>
  <c r="C15" i="17"/>
  <c r="C14" i="17"/>
  <c r="C13" i="17"/>
  <c r="C12" i="17"/>
  <c r="C11" i="17"/>
  <c r="C10" i="17"/>
  <c r="C9" i="17"/>
  <c r="C8" i="17"/>
  <c r="C7" i="17"/>
  <c r="C6" i="17"/>
  <c r="C5" i="17"/>
  <c r="C4" i="17"/>
  <c r="C3" i="17"/>
  <c r="C2" i="17"/>
  <c r="G81" i="30" l="1"/>
  <c r="GV4" i="19"/>
  <c r="G82" i="30" s="1"/>
  <c r="GU4" i="19"/>
  <c r="G77" i="30"/>
  <c r="HI4" i="19"/>
  <c r="G90" i="30" s="1"/>
  <c r="HC4" i="19"/>
  <c r="AD4" i="19"/>
  <c r="G64" i="30" s="1"/>
  <c r="GP4" i="19"/>
  <c r="GO4" i="19"/>
  <c r="GG4" i="19"/>
  <c r="GI4" i="19"/>
  <c r="GJ4" i="19"/>
  <c r="GH4" i="19"/>
  <c r="GN4" i="19"/>
  <c r="GM4" i="19"/>
  <c r="GL4" i="19"/>
  <c r="GK4" i="19"/>
  <c r="CU4" i="19"/>
  <c r="AC4" i="19" s="1"/>
  <c r="G62" i="30" s="1"/>
  <c r="G88" i="30" l="1"/>
  <c r="HB4" i="19"/>
  <c r="G78" i="30"/>
  <c r="GT4" i="19"/>
  <c r="G79" i="30" s="1"/>
  <c r="HE4" i="19"/>
  <c r="G89" i="30"/>
  <c r="Z4" i="19"/>
  <c r="G58" i="30" s="1"/>
  <c r="Y4" i="19"/>
  <c r="G57" i="30" s="1"/>
  <c r="AA4" i="19"/>
  <c r="G59" i="30" s="1"/>
  <c r="G91" i="30" l="1"/>
  <c r="HD4" i="19"/>
  <c r="G92" i="30" s="1"/>
  <c r="CT4" i="19"/>
  <c r="X4" i="19" s="1"/>
  <c r="G48" i="30" s="1"/>
  <c r="CS4" i="19"/>
  <c r="W4" i="19" s="1"/>
  <c r="G46" i="30" s="1"/>
  <c r="EC4" i="19"/>
  <c r="EO4" i="19" s="1"/>
  <c r="DZ4" i="19"/>
  <c r="EL4" i="19" s="1"/>
  <c r="EA4" i="19"/>
  <c r="EM4" i="19" s="1"/>
  <c r="ED4" i="19"/>
  <c r="EP4" i="19" s="1"/>
  <c r="EG4" i="19"/>
  <c r="ES4" i="19" s="1"/>
  <c r="EE4" i="19"/>
  <c r="EQ4" i="19" s="1"/>
  <c r="EF4" i="19"/>
  <c r="ER4" i="19" s="1"/>
  <c r="EH4" i="19"/>
  <c r="ET4" i="19" s="1"/>
  <c r="FR4" i="19" s="1"/>
  <c r="DY4" i="19"/>
  <c r="EK4" i="19" s="1"/>
  <c r="EB4" i="19"/>
  <c r="EN4" i="19" s="1"/>
  <c r="GB4" i="19" l="1"/>
  <c r="GA4" i="19"/>
  <c r="GC4" i="19"/>
  <c r="FX4" i="19"/>
  <c r="FZ4" i="19"/>
  <c r="FW4" i="19"/>
  <c r="FV4" i="19"/>
  <c r="FU4" i="19"/>
  <c r="GD4" i="19"/>
  <c r="FY4" i="19"/>
  <c r="FT4" i="19"/>
  <c r="FB4" i="19"/>
  <c r="FN4" i="19"/>
  <c r="FD4" i="19"/>
  <c r="FP4" i="19"/>
  <c r="FC4" i="19"/>
  <c r="FO4" i="19"/>
  <c r="EZ4" i="19"/>
  <c r="FL4" i="19"/>
  <c r="FF4" i="19"/>
  <c r="FE4" i="19"/>
  <c r="FQ4" i="19"/>
  <c r="EY4" i="19"/>
  <c r="FK4" i="19"/>
  <c r="EW4" i="19"/>
  <c r="FI4" i="19"/>
  <c r="EX4" i="19"/>
  <c r="FJ4" i="19"/>
  <c r="FA4" i="19"/>
  <c r="FM4" i="19"/>
  <c r="FH4" i="19"/>
  <c r="BS6" i="23" l="1"/>
  <c r="BR6" i="23" s="1"/>
  <c r="IL6" i="23" s="1"/>
  <c r="IJ6" i="23" s="1"/>
  <c r="BS5" i="23"/>
  <c r="BR5" i="23" s="1"/>
  <c r="IL5" i="23" s="1"/>
  <c r="IJ5" i="23" s="1"/>
  <c r="IE6" i="23" l="1"/>
  <c r="ID6" i="23"/>
  <c r="IE5" i="23"/>
  <c r="ID5" i="23"/>
  <c r="GE6" i="23"/>
  <c r="HC6" i="23" s="1"/>
  <c r="HO6" i="23" s="1"/>
  <c r="BO6" i="23"/>
  <c r="GE5" i="23"/>
  <c r="HC5" i="23" s="1"/>
  <c r="HO5" i="23" s="1"/>
  <c r="BO5" i="23"/>
  <c r="FY6" i="23"/>
  <c r="FZ6" i="23"/>
  <c r="GA6" i="23"/>
  <c r="GB6" i="23"/>
  <c r="GC6" i="23"/>
  <c r="FV6" i="23"/>
  <c r="GD6" i="23"/>
  <c r="FW6" i="23"/>
  <c r="FX6" i="23"/>
  <c r="GB5" i="23"/>
  <c r="GC5" i="23"/>
  <c r="FV5" i="23"/>
  <c r="GD5" i="23"/>
  <c r="FW5" i="23"/>
  <c r="FX5" i="23"/>
  <c r="FY5" i="23"/>
  <c r="FZ5" i="23"/>
  <c r="GA5" i="23"/>
  <c r="DR6" i="23"/>
  <c r="ED6" i="23" s="1"/>
  <c r="DR5" i="23"/>
  <c r="ED5" i="23" s="1"/>
  <c r="HA6" i="23" l="1"/>
  <c r="HM6" i="23" s="1"/>
  <c r="IM6" i="23"/>
  <c r="IK6" i="23" s="1"/>
  <c r="IG6" i="23" s="1"/>
  <c r="BY6" i="23"/>
  <c r="CM6" i="23"/>
  <c r="CL6" i="23" s="1"/>
  <c r="U6" i="23" s="1"/>
  <c r="BZ6" i="23"/>
  <c r="FB5" i="23"/>
  <c r="EP5" i="23"/>
  <c r="FN5" i="23"/>
  <c r="FB6" i="23"/>
  <c r="FN6" i="23"/>
  <c r="EP6" i="23"/>
  <c r="DN6" i="23"/>
  <c r="DZ6" i="23" s="1"/>
  <c r="DM6" i="23"/>
  <c r="DY6" i="23" s="1"/>
  <c r="DQ6" i="23"/>
  <c r="EC6" i="23" s="1"/>
  <c r="DP6" i="23"/>
  <c r="EB6" i="23" s="1"/>
  <c r="DP5" i="23"/>
  <c r="EB5" i="23" s="1"/>
  <c r="DQ5" i="23"/>
  <c r="EC5" i="23" s="1"/>
  <c r="BY5" i="23"/>
  <c r="IM5" i="23"/>
  <c r="IK5" i="23" s="1"/>
  <c r="IG5" i="23" s="1"/>
  <c r="BZ5" i="23"/>
  <c r="GT5" i="23" l="1"/>
  <c r="HF5" i="23" s="1"/>
  <c r="GU5" i="23"/>
  <c r="HG5" i="23" s="1"/>
  <c r="HA5" i="23"/>
  <c r="HM5" i="23" s="1"/>
  <c r="GY6" i="23"/>
  <c r="HK6" i="23" s="1"/>
  <c r="GV6" i="23"/>
  <c r="HH6" i="23" s="1"/>
  <c r="HB6" i="23"/>
  <c r="HN6" i="23" s="1"/>
  <c r="GU6" i="23"/>
  <c r="HG6" i="23" s="1"/>
  <c r="GZ5" i="23"/>
  <c r="HL5" i="23" s="1"/>
  <c r="GW6" i="23"/>
  <c r="HI6" i="23" s="1"/>
  <c r="GV5" i="23"/>
  <c r="HH5" i="23" s="1"/>
  <c r="GZ6" i="23"/>
  <c r="HL6" i="23" s="1"/>
  <c r="GX5" i="23"/>
  <c r="HJ5" i="23" s="1"/>
  <c r="GW5" i="23"/>
  <c r="HI5" i="23" s="1"/>
  <c r="GX6" i="23"/>
  <c r="HJ6" i="23" s="1"/>
  <c r="GT6" i="23"/>
  <c r="HF6" i="23" s="1"/>
  <c r="HB5" i="23"/>
  <c r="HN5" i="23" s="1"/>
  <c r="GY5" i="23"/>
  <c r="HK5" i="23" s="1"/>
  <c r="IF6" i="23"/>
  <c r="V6" i="23"/>
  <c r="EK6" i="23"/>
  <c r="EW6" i="23"/>
  <c r="FI6" i="23"/>
  <c r="FJ6" i="23"/>
  <c r="EX6" i="23"/>
  <c r="EL6" i="23"/>
  <c r="EN5" i="23"/>
  <c r="FL5" i="23"/>
  <c r="EZ5" i="23"/>
  <c r="EO6" i="23"/>
  <c r="FM6" i="23"/>
  <c r="FA6" i="23"/>
  <c r="FM5" i="23"/>
  <c r="FA5" i="23"/>
  <c r="EO5" i="23"/>
  <c r="CM5" i="23"/>
  <c r="V5" i="23" s="1"/>
  <c r="DN5" i="23"/>
  <c r="DZ5" i="23" s="1"/>
  <c r="DM5" i="23"/>
  <c r="DY5" i="23" s="1"/>
  <c r="FL6" i="23"/>
  <c r="EZ6" i="23"/>
  <c r="EN6" i="23"/>
  <c r="IF5" i="23"/>
  <c r="CL5" i="23" l="1"/>
  <c r="U5" i="23" s="1"/>
  <c r="FI5" i="23"/>
  <c r="EK5" i="23"/>
  <c r="EW5" i="23"/>
  <c r="FJ5" i="23"/>
  <c r="EL5" i="23"/>
  <c r="EX5" i="23"/>
  <c r="G64" i="8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747E4FA3-5405-4B5C-97A9-4FDE5A895E52}">
      <text>
        <r>
          <rPr>
            <sz val="9"/>
            <color indexed="81"/>
            <rFont val="Tahoma"/>
            <family val="2"/>
          </rPr>
          <t xml:space="preserve">Choose the type of Office building being rated
</t>
        </r>
      </text>
    </comment>
    <comment ref="E16" authorId="0" shapeId="0" xr:uid="{7F14CFF9-FD27-4EC5-A169-740D69424984}">
      <text>
        <r>
          <rPr>
            <sz val="8"/>
            <color indexed="81"/>
            <rFont val="Tahoma"/>
            <family val="2"/>
          </rPr>
          <t>Enter the NABERS Energy Star Rating you wish to achieve</t>
        </r>
      </text>
    </comment>
    <comment ref="E18" authorId="0" shapeId="0" xr:uid="{7E9B2C57-17C1-4A47-9E5B-643C80C93B33}">
      <text>
        <r>
          <rPr>
            <sz val="8"/>
            <color indexed="81"/>
            <rFont val="Tahoma"/>
            <family val="2"/>
          </rPr>
          <t>Enter the NABERS Water Star Rating you wish to achieve</t>
        </r>
      </text>
    </comment>
    <comment ref="I25" authorId="0" shapeId="0" xr:uid="{4C6E1935-ADCD-4CCE-A5F9-EAC8A3203300}">
      <text>
        <r>
          <rPr>
            <b/>
            <sz val="8"/>
            <color indexed="81"/>
            <rFont val="Tahoma"/>
            <family val="2"/>
          </rPr>
          <t>Enter the postcode of the Office</t>
        </r>
      </text>
    </comment>
    <comment ref="I26" authorId="0" shapeId="0" xr:uid="{E20D433C-0DEF-4F31-8747-1737DFB10B3F}">
      <text>
        <r>
          <rPr>
            <b/>
            <sz val="8"/>
            <color indexed="81"/>
            <rFont val="Tahoma"/>
            <family val="2"/>
          </rPr>
          <t xml:space="preserve">Enter the 'Rated Area' of the Building
</t>
        </r>
        <r>
          <rPr>
            <sz val="8"/>
            <color indexed="81"/>
            <rFont val="Tahoma"/>
            <family val="2"/>
          </rPr>
          <t>NABERS Energy &amp; Water for Offices Rules 4.1 - Section 4</t>
        </r>
      </text>
    </comment>
    <comment ref="I27" authorId="0" shapeId="0" xr:uid="{7C9D635E-4B82-45DE-8D17-86329AA64CDE}">
      <text>
        <r>
          <rPr>
            <b/>
            <sz val="8"/>
            <color indexed="81"/>
            <rFont val="Tahoma"/>
            <family val="2"/>
          </rPr>
          <t xml:space="preserve">Enter the 'Rated Hours' of the Building
</t>
        </r>
        <r>
          <rPr>
            <sz val="8"/>
            <color indexed="81"/>
            <rFont val="Tahoma"/>
            <family val="2"/>
          </rPr>
          <t>NABERS Energy &amp; Water for Offices Rules 4.1 - Section 5</t>
        </r>
      </text>
    </comment>
    <comment ref="I28" authorId="0" shapeId="0" xr:uid="{E40B0CA4-5E33-4CC5-922C-2CFB0786AC20}">
      <text>
        <r>
          <rPr>
            <b/>
            <sz val="8"/>
            <color indexed="81"/>
            <rFont val="Tahoma"/>
            <family val="2"/>
          </rPr>
          <t xml:space="preserve">Enter the Number of Computers
</t>
        </r>
        <r>
          <rPr>
            <sz val="8"/>
            <color indexed="81"/>
            <rFont val="Tahoma"/>
            <family val="2"/>
          </rPr>
          <t>NABERS Energy and Water for Offices Rules 4.1 - Section 6</t>
        </r>
      </text>
    </comment>
    <comment ref="I30" authorId="0" shapeId="0" xr:uid="{E2D36F71-2347-4F6A-939E-94DC823D7462}">
      <text>
        <r>
          <rPr>
            <sz val="8"/>
            <color indexed="81"/>
            <rFont val="Tahoma"/>
            <family val="2"/>
          </rPr>
          <t>Enter the percentage of Office energy use that will be met through electricity</t>
        </r>
      </text>
    </comment>
    <comment ref="I31" authorId="0" shapeId="0" xr:uid="{FD79FEC7-FB8E-4D36-BDE0-57D755690E1A}">
      <text>
        <r>
          <rPr>
            <sz val="8"/>
            <color indexed="81"/>
            <rFont val="Tahoma"/>
            <family val="2"/>
          </rPr>
          <t>Enter the percentage of Office energy use that will be met through gas</t>
        </r>
      </text>
    </comment>
    <comment ref="I32" authorId="0" shapeId="0" xr:uid="{DF4D0FA3-65B9-48AD-86CD-BBDEED56197B}">
      <text>
        <r>
          <rPr>
            <sz val="8"/>
            <color indexed="81"/>
            <rFont val="Tahoma"/>
            <family val="2"/>
          </rPr>
          <t>Enter the percentage of Office energy use that will be met through diesel</t>
        </r>
      </text>
    </comment>
    <comment ref="G38" authorId="0" shapeId="0" xr:uid="{9A753F26-2235-46C2-A1EF-16F24A42FE39}">
      <text>
        <r>
          <rPr>
            <sz val="9"/>
            <color indexed="81"/>
            <rFont val="Tahoma"/>
            <family val="2"/>
          </rPr>
          <t xml:space="preserve">Benchmarking Emissions are used for calculating the NABERS Energy star rating and are based on NGA factors from the time the rating was devloped.
</t>
        </r>
      </text>
    </comment>
    <comment ref="G41" authorId="0" shapeId="0" xr:uid="{2C33F156-B0F0-4FC4-B5B1-44F730EE4B9D}">
      <text>
        <r>
          <rPr>
            <sz val="9"/>
            <color indexed="81"/>
            <rFont val="Tahoma"/>
            <family val="2"/>
          </rPr>
          <t xml:space="preserve">Reporting Emissions are used for NGER reporting and are based on current NGA factors
</t>
        </r>
      </text>
    </comment>
    <comment ref="G43" authorId="0" shapeId="0" xr:uid="{C8D9010C-B333-4615-942B-686EE527AAB8}">
      <text>
        <r>
          <rPr>
            <sz val="9"/>
            <color indexed="81"/>
            <rFont val="Tahoma"/>
            <family val="2"/>
          </rPr>
          <t xml:space="preserve">Reporting Emissions are used for NGER reporting and are based on current NGA factors
</t>
        </r>
      </text>
    </comment>
    <comment ref="G46" authorId="0" shapeId="0" xr:uid="{67A2C0F7-55CC-474C-A991-C00082883766}">
      <text>
        <r>
          <rPr>
            <sz val="9"/>
            <color indexed="81"/>
            <rFont val="Tahoma"/>
            <family val="2"/>
          </rPr>
          <t xml:space="preserve">Benchmarking Emissions are used for calculating the NABERS Energy star rating and are based on NGA factors from the time the rating was devloped.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7F14CFF9-FD27-4EC5-A169-740D69424984}">
      <text>
        <r>
          <rPr>
            <sz val="8"/>
            <color indexed="81"/>
            <rFont val="Tahoma"/>
            <family val="2"/>
          </rPr>
          <t>Enter the NABERS Energy Star Rating you wish to achieve</t>
        </r>
      </text>
    </comment>
    <comment ref="I18" authorId="0" shapeId="0" xr:uid="{4C6E1935-ADCD-4CCE-A5F9-EAC8A3203300}">
      <text>
        <r>
          <rPr>
            <b/>
            <sz val="8"/>
            <color indexed="81"/>
            <rFont val="Tahoma"/>
            <family val="2"/>
          </rPr>
          <t>Enter the postcode of the Warehouse</t>
        </r>
      </text>
    </comment>
    <comment ref="I19" authorId="0" shapeId="0" xr:uid="{E20D433C-0DEF-4F31-8747-1737DFB10B3F}">
      <text>
        <r>
          <rPr>
            <b/>
            <sz val="8"/>
            <color indexed="81"/>
            <rFont val="Tahoma"/>
            <family val="2"/>
          </rPr>
          <t xml:space="preserve">Enter the available  operation data 'FTE/ATR' of the Warehouse
</t>
        </r>
        <r>
          <rPr>
            <sz val="8"/>
            <color indexed="81"/>
            <rFont val="Tahoma"/>
            <family val="2"/>
          </rPr>
          <t>NABERS Energy for Warehouses and Cold Stores Rules 1.0 - Section 9 &amp; 10</t>
        </r>
      </text>
    </comment>
    <comment ref="I20" authorId="0" shapeId="0" xr:uid="{2A32A36B-72B7-4805-9BF6-931567C243B1}">
      <text>
        <r>
          <rPr>
            <b/>
            <sz val="8"/>
            <color indexed="81"/>
            <rFont val="Tahoma"/>
            <family val="2"/>
          </rPr>
          <t xml:space="preserve">Choose if there is a 'Cold store' at the Warehouse
</t>
        </r>
        <r>
          <rPr>
            <sz val="8"/>
            <color indexed="81"/>
            <rFont val="Tahoma"/>
            <family val="2"/>
          </rPr>
          <t>NABERS Energy for Warehouses and Cold Stores Rules 1.0 - Section 6</t>
        </r>
      </text>
    </comment>
    <comment ref="I21" authorId="0" shapeId="0" xr:uid="{8EB6E076-BC62-4716-8283-585FE7FCF699}">
      <text>
        <r>
          <rPr>
            <b/>
            <sz val="8"/>
            <color indexed="81"/>
            <rFont val="Tahoma"/>
            <family val="2"/>
          </rPr>
          <t xml:space="preserve">Enter the 'Total GLAR' of the Warehouse
</t>
        </r>
        <r>
          <rPr>
            <sz val="8"/>
            <color indexed="81"/>
            <rFont val="Tahoma"/>
            <family val="2"/>
          </rPr>
          <t>NABERS Energy for Warehouses and Cold Stores Rules 1.0 - Section 5</t>
        </r>
      </text>
    </comment>
    <comment ref="I22" authorId="0" shapeId="0" xr:uid="{F0AB9E40-0ABC-44C6-A4D7-457F6818DAF5}">
      <text>
        <r>
          <rPr>
            <b/>
            <sz val="8"/>
            <color indexed="81"/>
            <rFont val="Tahoma"/>
            <family val="2"/>
          </rPr>
          <t xml:space="preserve">Enter the 'Rated Hours' of the Building
</t>
        </r>
        <r>
          <rPr>
            <sz val="8"/>
            <color indexed="81"/>
            <rFont val="Tahoma"/>
            <family val="2"/>
          </rPr>
          <t>NABERS Energy &amp; Water for Offices Rules 4.1 - Section 5</t>
        </r>
      </text>
    </comment>
    <comment ref="I23" authorId="0" shapeId="0" xr:uid="{D4B943D9-6968-4FC4-B1D2-EF251A89A437}">
      <text>
        <r>
          <rPr>
            <b/>
            <sz val="8"/>
            <color indexed="81"/>
            <rFont val="Tahoma"/>
            <family val="2"/>
          </rPr>
          <t xml:space="preserve">Enter the 'Rated Hours' of the Building
</t>
        </r>
        <r>
          <rPr>
            <sz val="8"/>
            <color indexed="81"/>
            <rFont val="Tahoma"/>
            <family val="2"/>
          </rPr>
          <t>NABERS Energy &amp; Water for Offices Rules 4.1 - Section 5</t>
        </r>
      </text>
    </comment>
    <comment ref="I24" authorId="0" shapeId="0" xr:uid="{D04B1914-E68A-4785-ACC0-7EE311F424A5}">
      <text>
        <r>
          <rPr>
            <b/>
            <sz val="8"/>
            <color indexed="81"/>
            <rFont val="Tahoma"/>
            <family val="2"/>
          </rPr>
          <t xml:space="preserve">Enter the 'Rated Hours' of the Building
</t>
        </r>
        <r>
          <rPr>
            <sz val="8"/>
            <color indexed="81"/>
            <rFont val="Tahoma"/>
            <family val="2"/>
          </rPr>
          <t>NABERS Energy &amp; Water for Offices Rules 4.1 - Section 5</t>
        </r>
      </text>
    </comment>
    <comment ref="I25" authorId="0" shapeId="0" xr:uid="{ECF7F530-511E-4315-B2B9-FED02A4F0B6A}">
      <text>
        <r>
          <rPr>
            <b/>
            <sz val="8"/>
            <color indexed="81"/>
            <rFont val="Tahoma"/>
            <family val="2"/>
          </rPr>
          <t xml:space="preserve">Enter the 'Rated Hours' of the Building
</t>
        </r>
        <r>
          <rPr>
            <sz val="8"/>
            <color indexed="81"/>
            <rFont val="Tahoma"/>
            <family val="2"/>
          </rPr>
          <t>NABERS Energy &amp; Water for Offices Rules 4.1 - Section 5</t>
        </r>
      </text>
    </comment>
    <comment ref="I26" authorId="0" shapeId="0" xr:uid="{502ADC6C-E273-4ECD-9B75-18F0558130A6}">
      <text>
        <r>
          <rPr>
            <b/>
            <sz val="8"/>
            <color indexed="81"/>
            <rFont val="Tahoma"/>
            <family val="2"/>
          </rPr>
          <t xml:space="preserve">Enter the 'Rated Hours' of the Building
</t>
        </r>
        <r>
          <rPr>
            <sz val="8"/>
            <color indexed="81"/>
            <rFont val="Tahoma"/>
            <family val="2"/>
          </rPr>
          <t>NABERS Energy &amp; Water for Offices Rules 4.1 - Section 5</t>
        </r>
      </text>
    </comment>
    <comment ref="I27" authorId="0" shapeId="0" xr:uid="{7C9D635E-4B82-45DE-8D17-86329AA64CDE}">
      <text>
        <r>
          <rPr>
            <b/>
            <sz val="8"/>
            <color indexed="81"/>
            <rFont val="Tahoma"/>
            <family val="2"/>
          </rPr>
          <t xml:space="preserve">Enter the 'Rated Hours' of the Building
</t>
        </r>
        <r>
          <rPr>
            <sz val="8"/>
            <color indexed="81"/>
            <rFont val="Tahoma"/>
            <family val="2"/>
          </rPr>
          <t>NABERS Energy &amp; Water for Offices Rules 4.1 - Section 5</t>
        </r>
      </text>
    </comment>
    <comment ref="I28" authorId="0" shapeId="0" xr:uid="{E40B0CA4-5E33-4CC5-922C-2CFB0786AC20}">
      <text>
        <r>
          <rPr>
            <b/>
            <sz val="8"/>
            <color indexed="81"/>
            <rFont val="Tahoma"/>
            <family val="2"/>
          </rPr>
          <t xml:space="preserve">Enter the Number of Computers
</t>
        </r>
        <r>
          <rPr>
            <sz val="8"/>
            <color indexed="81"/>
            <rFont val="Tahoma"/>
            <family val="2"/>
          </rPr>
          <t>NABERS Energy and Water for Offices Rules 4.1 - Section 6</t>
        </r>
      </text>
    </comment>
    <comment ref="I30" authorId="0" shapeId="0" xr:uid="{E2D36F71-2347-4F6A-939E-94DC823D7462}">
      <text>
        <r>
          <rPr>
            <sz val="8"/>
            <color indexed="81"/>
            <rFont val="Tahoma"/>
            <family val="2"/>
          </rPr>
          <t>Enter the percentage of Warehouse energy use that will be met through electricity</t>
        </r>
      </text>
    </comment>
    <comment ref="I31" authorId="0" shapeId="0" xr:uid="{FD79FEC7-FB8E-4D36-BDE0-57D755690E1A}">
      <text>
        <r>
          <rPr>
            <sz val="8"/>
            <color indexed="81"/>
            <rFont val="Tahoma"/>
            <family val="2"/>
          </rPr>
          <t>Enter the percentage of Warehouse energy use that will be met through gas</t>
        </r>
      </text>
    </comment>
    <comment ref="I32" authorId="0" shapeId="0" xr:uid="{74F23B72-4852-4AB3-AE62-D60FEE875323}">
      <text>
        <r>
          <rPr>
            <sz val="8"/>
            <color indexed="81"/>
            <rFont val="Tahoma"/>
            <family val="2"/>
          </rPr>
          <t>Enter the percentage of Warehouse energy use that will be met through LPG</t>
        </r>
      </text>
    </comment>
    <comment ref="I33" authorId="0" shapeId="0" xr:uid="{DF4D0FA3-65B9-48AD-86CD-BBDEED56197B}">
      <text>
        <r>
          <rPr>
            <sz val="8"/>
            <color indexed="81"/>
            <rFont val="Tahoma"/>
            <family val="2"/>
          </rPr>
          <t>Enter the percentage of Warehouse energy use that will be met through diesel</t>
        </r>
      </text>
    </comment>
    <comment ref="G37" authorId="0" shapeId="0" xr:uid="{BD25D569-4D58-4B5A-8CDC-B034CA8CDCCC}">
      <text>
        <r>
          <rPr>
            <sz val="9"/>
            <color indexed="81"/>
            <rFont val="Tahoma"/>
            <family val="2"/>
          </rPr>
          <t xml:space="preserve">Benchmarking Emissions are used for calculating the NABERS Energy star rating and are based on NGA factors from the time the rating was devloped.
</t>
        </r>
      </text>
    </comment>
    <comment ref="G39" authorId="0" shapeId="0" xr:uid="{43E173DC-CE99-4F44-948F-895BF7D5D722}">
      <text>
        <r>
          <rPr>
            <sz val="9"/>
            <color indexed="81"/>
            <rFont val="Tahoma"/>
            <family val="2"/>
          </rPr>
          <t xml:space="preserve">Benchmarking Emissions are used for calculating the NABERS Energy star rating and are based on NGA factors from the time the rating was devloped.
</t>
        </r>
      </text>
    </comment>
    <comment ref="G42" authorId="0" shapeId="0" xr:uid="{47FDB5C2-46A5-4F49-A5AA-E9C85F9A9272}">
      <text>
        <r>
          <rPr>
            <sz val="9"/>
            <color indexed="81"/>
            <rFont val="Tahoma"/>
            <family val="2"/>
          </rPr>
          <t xml:space="preserve">Reporting Emissions are used for NGER reporting and are based on current NGA factors
</t>
        </r>
      </text>
    </comment>
    <comment ref="G44" authorId="0" shapeId="0" xr:uid="{7B89CB6F-ADCD-4824-A749-E5A6D866ECE0}">
      <text>
        <r>
          <rPr>
            <sz val="9"/>
            <color indexed="81"/>
            <rFont val="Tahoma"/>
            <family val="2"/>
          </rPr>
          <t xml:space="preserve">Reporting Emissions are used for NGER reporting and are based on current NGA factors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56BDCF11-0A53-4E18-8BE0-2D60E354F129}">
      <text>
        <r>
          <rPr>
            <sz val="9"/>
            <color indexed="81"/>
            <rFont val="Tahoma"/>
            <family val="2"/>
          </rPr>
          <t>Enter the NABERS Energy Star Rating you wish to achieve</t>
        </r>
      </text>
    </comment>
    <comment ref="E14" authorId="0" shapeId="0" xr:uid="{EDB125E9-D4C5-46A4-80A9-2332DDD44393}">
      <text>
        <r>
          <rPr>
            <sz val="9"/>
            <color indexed="81"/>
            <rFont val="Tahoma"/>
            <family val="2"/>
          </rPr>
          <t>Enter the NABERS Water Star Rating you wish to achieve</t>
        </r>
      </text>
    </comment>
    <comment ref="I21" authorId="0" shapeId="0" xr:uid="{25AA943B-2AA5-420E-9B58-B0CC7BC40550}">
      <text>
        <r>
          <rPr>
            <b/>
            <sz val="8"/>
            <color indexed="81"/>
            <rFont val="Tahoma"/>
            <family val="2"/>
          </rPr>
          <t>Enter the Postcode of the Apartment Building</t>
        </r>
      </text>
    </comment>
    <comment ref="I22" authorId="0" shapeId="0" xr:uid="{41B96CE7-4FB9-4CB4-B498-C0B4202ADE5F}">
      <text>
        <r>
          <rPr>
            <b/>
            <sz val="8"/>
            <color indexed="81"/>
            <rFont val="Tahoma"/>
            <family val="2"/>
          </rPr>
          <t xml:space="preserve">Enter the Total Number of Apartments
</t>
        </r>
        <r>
          <rPr>
            <sz val="8"/>
            <color indexed="81"/>
            <rFont val="Tahoma"/>
            <family val="2"/>
          </rPr>
          <t>NABERS Energy and Water for Apartment Buildings  Rules 1.1 - Section 5</t>
        </r>
      </text>
    </comment>
    <comment ref="I23" authorId="0" shapeId="0" xr:uid="{3DABC683-C70E-473B-8A6B-365110461416}">
      <text>
        <r>
          <rPr>
            <b/>
            <sz val="8"/>
            <color indexed="81"/>
            <rFont val="Tahoma"/>
            <family val="2"/>
          </rPr>
          <t xml:space="preserve">Enter the number of centrally air-conditioned apartments
</t>
        </r>
        <r>
          <rPr>
            <sz val="8"/>
            <color indexed="81"/>
            <rFont val="Tahoma"/>
            <family val="2"/>
          </rPr>
          <t>NABERS Energy and Water for Apartment Buildings  Rules 1.1 - Section 6.3</t>
        </r>
      </text>
    </comment>
    <comment ref="I24" authorId="0" shapeId="0" xr:uid="{9A7F49FE-D93E-4835-806C-0A87AF60B94F}">
      <text>
        <r>
          <rPr>
            <b/>
            <sz val="8"/>
            <color indexed="81"/>
            <rFont val="Tahoma"/>
            <family val="2"/>
          </rPr>
          <t xml:space="preserve">Enter the number of condenser water serviced apartments
</t>
        </r>
        <r>
          <rPr>
            <sz val="8"/>
            <color indexed="81"/>
            <rFont val="Tahoma"/>
            <family val="2"/>
          </rPr>
          <t xml:space="preserve">
NABERS Energy and Water for Apartment Buildings  Rules 1.1 - Section 6.3</t>
        </r>
      </text>
    </comment>
    <comment ref="I25" authorId="0" shapeId="0" xr:uid="{0E1FD6B5-955C-49D3-8784-ED17944CD1A8}">
      <text>
        <r>
          <rPr>
            <b/>
            <sz val="8"/>
            <color indexed="81"/>
            <rFont val="Tahoma"/>
            <family val="2"/>
          </rPr>
          <t xml:space="preserve">Review the number of non-centrally serviced apartments
</t>
        </r>
        <r>
          <rPr>
            <sz val="8"/>
            <color indexed="81"/>
            <rFont val="Tahoma"/>
            <family val="2"/>
          </rPr>
          <t>NABERS Energy and Water for Apartment Buildings  Rules 1.1 - Section 6.3</t>
        </r>
      </text>
    </comment>
    <comment ref="I27" authorId="0" shapeId="0" xr:uid="{30264C1E-DFBC-45A8-9C53-5FFB2644E88D}">
      <text>
        <r>
          <rPr>
            <b/>
            <sz val="8"/>
            <color indexed="81"/>
            <rFont val="Tahoma"/>
            <family val="2"/>
          </rPr>
          <t xml:space="preserve">Enter the number of lift-serviced apartments
</t>
        </r>
        <r>
          <rPr>
            <sz val="8"/>
            <color indexed="81"/>
            <rFont val="Tahoma"/>
            <family val="2"/>
          </rPr>
          <t>NABERS Energy and Water for Apartment Buildings  Rules 1.1 - Section 6.3</t>
        </r>
      </text>
    </comment>
    <comment ref="I28" authorId="0" shapeId="0" xr:uid="{81E49737-8F6D-4DF5-9290-9B36E7404E3D}">
      <text>
        <r>
          <rPr>
            <b/>
            <sz val="8"/>
            <color indexed="81"/>
            <rFont val="Tahoma"/>
            <family val="2"/>
          </rPr>
          <t xml:space="preserve">Is there a swimming pool
</t>
        </r>
        <r>
          <rPr>
            <sz val="8"/>
            <color indexed="81"/>
            <rFont val="Tahoma"/>
            <family val="2"/>
          </rPr>
          <t>NABERS Energy and Water for Apartment Buildings  Rules 1.1 - Section 6.3.3</t>
        </r>
      </text>
    </comment>
    <comment ref="I29" authorId="0" shapeId="0" xr:uid="{C149C8A3-B2CA-45E1-8352-4BB9DBD17FA5}">
      <text>
        <r>
          <rPr>
            <b/>
            <sz val="8"/>
            <color indexed="81"/>
            <rFont val="Tahoma"/>
            <family val="2"/>
          </rPr>
          <t xml:space="preserve">Enter number of months in the year a pool was available, from 0-12
</t>
        </r>
        <r>
          <rPr>
            <sz val="8"/>
            <color indexed="81"/>
            <rFont val="Tahoma"/>
            <family val="2"/>
          </rPr>
          <t>NABERS Energy and Water for Apartment Buildings  Rules 1.1 - Section 6.3.3</t>
        </r>
      </text>
    </comment>
    <comment ref="I30" authorId="0" shapeId="0" xr:uid="{FCBCE614-C456-4625-96CF-92FD9DC15D60}">
      <text>
        <r>
          <rPr>
            <b/>
            <sz val="8"/>
            <color indexed="81"/>
            <rFont val="Tahoma"/>
            <family val="2"/>
          </rPr>
          <t xml:space="preserve">Is there a gym?
</t>
        </r>
        <r>
          <rPr>
            <sz val="8"/>
            <color indexed="81"/>
            <rFont val="Tahoma"/>
            <family val="2"/>
          </rPr>
          <t xml:space="preserve">
NABERS Energy and Water for Apartment Buildings  Rules 1.1 - Section 6.3.3</t>
        </r>
      </text>
    </comment>
    <comment ref="I31" authorId="0" shapeId="0" xr:uid="{50476DC3-E240-438D-A174-6D9F287FA3B6}">
      <text>
        <r>
          <rPr>
            <b/>
            <sz val="8"/>
            <color indexed="81"/>
            <rFont val="Tahoma"/>
            <family val="2"/>
          </rPr>
          <t xml:space="preserve">Enter number of months in the year a gym was available, from 0-12
</t>
        </r>
        <r>
          <rPr>
            <sz val="8"/>
            <color indexed="81"/>
            <rFont val="Tahoma"/>
            <family val="2"/>
          </rPr>
          <t xml:space="preserve">
NABERS Energy and Water for Apartment Buildings  Rules 1.1 - Section 6.3.3</t>
        </r>
      </text>
    </comment>
    <comment ref="I32" authorId="0" shapeId="0" xr:uid="{B5AFCFB1-D959-4B3E-B0EC-0B841BDE9AAF}">
      <text>
        <r>
          <rPr>
            <b/>
            <sz val="8"/>
            <color indexed="81"/>
            <rFont val="Tahoma"/>
            <family val="2"/>
          </rPr>
          <t xml:space="preserve">Enter the Number of Mechanically Ventilated Car Parking Spaces
</t>
        </r>
        <r>
          <rPr>
            <sz val="8"/>
            <color indexed="81"/>
            <rFont val="Tahoma"/>
            <family val="2"/>
          </rPr>
          <t>NABERS Energy and Water for Apartment Buildings  Rules 1.1 - Section 8.3</t>
        </r>
      </text>
    </comment>
    <comment ref="I33" authorId="0" shapeId="0" xr:uid="{F0B2D39C-C13F-469D-9B81-ED76882C783E}">
      <text>
        <r>
          <rPr>
            <b/>
            <sz val="8"/>
            <color indexed="81"/>
            <rFont val="Tahoma"/>
            <family val="2"/>
          </rPr>
          <t xml:space="preserve">Enter the Number of Naturally Ventilated Car Parking Spaces
</t>
        </r>
        <r>
          <rPr>
            <sz val="8"/>
            <color indexed="81"/>
            <rFont val="Tahoma"/>
            <family val="2"/>
          </rPr>
          <t>NABERS Energy and Water for Apartment Buildings  Rules 1.1 - Section 8.3</t>
        </r>
      </text>
    </comment>
    <comment ref="I35" authorId="0" shapeId="0" xr:uid="{62E9E945-CF5A-4A9A-AF16-196521C18010}">
      <text>
        <r>
          <rPr>
            <b/>
            <sz val="8"/>
            <color indexed="81"/>
            <rFont val="Tahoma"/>
            <family val="2"/>
          </rPr>
          <t xml:space="preserve">Enter the Number of Apartments Serviced by a Central Cold Water Meter that have central AC service
</t>
        </r>
        <r>
          <rPr>
            <sz val="8"/>
            <color indexed="81"/>
            <rFont val="Tahoma"/>
            <family val="2"/>
          </rPr>
          <t>NABERS Energy and Water for Apartment Buildings  Rules 1.1 - Section 7.3</t>
        </r>
      </text>
    </comment>
    <comment ref="I36" authorId="0" shapeId="0" xr:uid="{787B165B-56E0-492B-802E-C493F610BFD2}">
      <text>
        <r>
          <rPr>
            <b/>
            <sz val="8"/>
            <color indexed="81"/>
            <rFont val="Tahoma"/>
            <family val="2"/>
          </rPr>
          <t xml:space="preserve">Enter the Number of Apartments Serviced by a Central Cold Water Meter that have central AC service
</t>
        </r>
        <r>
          <rPr>
            <sz val="8"/>
            <color indexed="81"/>
            <rFont val="Tahoma"/>
            <family val="2"/>
          </rPr>
          <t>NABERS Energy and Water for Apartment Buildings  Rules 1.1 - Section 7.3</t>
        </r>
      </text>
    </comment>
    <comment ref="I37" authorId="0" shapeId="0" xr:uid="{C26D4F8E-C418-4B76-AD24-FEC3B97D5170}">
      <text>
        <r>
          <rPr>
            <b/>
            <sz val="8"/>
            <color indexed="81"/>
            <rFont val="Tahoma"/>
            <family val="2"/>
          </rPr>
          <t xml:space="preserve">Enter the Number of Apartments Serviced by a Central Cold Water Meter that have central AC service
</t>
        </r>
        <r>
          <rPr>
            <sz val="8"/>
            <color indexed="81"/>
            <rFont val="Tahoma"/>
            <family val="2"/>
          </rPr>
          <t>NABERS Energy and Water for Apartment Buildings  Rules 1.1 - Section 7.3</t>
        </r>
      </text>
    </comment>
    <comment ref="I38" authorId="0" shapeId="0" xr:uid="{A991C17F-F710-44E9-88B7-87E53E91F735}">
      <text>
        <r>
          <rPr>
            <b/>
            <sz val="8"/>
            <color indexed="81"/>
            <rFont val="Tahoma"/>
            <family val="2"/>
          </rPr>
          <t xml:space="preserve">Enter the Number of Apartments Serviced by a Central Cold Water Meter that have central AC service
</t>
        </r>
        <r>
          <rPr>
            <sz val="8"/>
            <color indexed="81"/>
            <rFont val="Tahoma"/>
            <family val="2"/>
          </rPr>
          <t>NABERS Energy and Water for Apartment Buildings  Rules 1.1 - Section 7.3</t>
        </r>
      </text>
    </comment>
    <comment ref="I40" authorId="0" shapeId="0" xr:uid="{C87470B5-53AE-42F6-ACC6-A2D714ADEA2D}">
      <text>
        <r>
          <rPr>
            <sz val="8"/>
            <color indexed="81"/>
            <rFont val="Tahoma"/>
            <family val="2"/>
          </rPr>
          <t>Enter the percentage of Apartment Complex energy use that will be met through electricity</t>
        </r>
      </text>
    </comment>
    <comment ref="I41" authorId="0" shapeId="0" xr:uid="{44C5E206-1FC9-4E36-BB4D-85EB579779A8}">
      <text>
        <r>
          <rPr>
            <sz val="8"/>
            <color indexed="81"/>
            <rFont val="Tahoma"/>
            <family val="2"/>
          </rPr>
          <t>Enter the percentage of Apartment Complex energy use that will be met through gas</t>
        </r>
      </text>
    </comment>
    <comment ref="I42" authorId="0" shapeId="0" xr:uid="{D4D6C23B-1174-41F5-B286-0B6F52261DF3}">
      <text>
        <r>
          <rPr>
            <sz val="8"/>
            <color indexed="81"/>
            <rFont val="Tahoma"/>
            <family val="2"/>
          </rPr>
          <t>Enter the percentage of Apartment Complex energy use that will be met through diesel</t>
        </r>
      </text>
    </comment>
    <comment ref="G47" authorId="0" shapeId="0" xr:uid="{A5EFC8CA-0647-4DC0-AF77-46B13862B67F}">
      <text>
        <r>
          <rPr>
            <sz val="9"/>
            <color indexed="81"/>
            <rFont val="Tahoma"/>
            <family val="2"/>
          </rPr>
          <t xml:space="preserve">Benchmarking Emissions are used for calculating the NABERS Energy star rating and are based on NGA factors from the time the rating was devloped.
</t>
        </r>
      </text>
    </comment>
    <comment ref="G49" authorId="0" shapeId="0" xr:uid="{3C15B941-6BBC-447D-9E70-F3F81593E56C}">
      <text>
        <r>
          <rPr>
            <sz val="9"/>
            <color indexed="81"/>
            <rFont val="Tahoma"/>
            <family val="2"/>
          </rPr>
          <t xml:space="preserve">Benchmarking Emissions are used for calculating the NABERS Energy star rating and are based on NGA factors from the time the rating was devloped.
</t>
        </r>
      </text>
    </comment>
    <comment ref="G52" authorId="0" shapeId="0" xr:uid="{68603D54-E598-4EAD-8811-92D8161D4073}">
      <text>
        <r>
          <rPr>
            <sz val="9"/>
            <color indexed="81"/>
            <rFont val="Tahoma"/>
            <family val="2"/>
          </rPr>
          <t xml:space="preserve">Reporting Emissions are used for NGER reporting and are based on current NGA factors
</t>
        </r>
      </text>
    </comment>
    <comment ref="G54" authorId="0" shapeId="0" xr:uid="{1ABD8935-1275-45B5-A32A-157060966EE4}">
      <text>
        <r>
          <rPr>
            <sz val="9"/>
            <color indexed="81"/>
            <rFont val="Tahoma"/>
            <family val="2"/>
          </rPr>
          <t xml:space="preserve">Reporting Emissions are used for NGER reporting and are based on current NGA factors
</t>
        </r>
      </text>
    </comment>
    <comment ref="G57" authorId="0" shapeId="0" xr:uid="{54F9F7F3-59B4-40B1-901E-D0F59C34916E}">
      <text>
        <r>
          <rPr>
            <sz val="9"/>
            <color indexed="81"/>
            <rFont val="Tahoma"/>
            <family val="2"/>
          </rPr>
          <t xml:space="preserve">Benchmarking Emissions are used for calculating the NABERS Energy star rating and are based on NGA factors from the time the rating was devloped.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6BC76AE1-995A-4EAF-8F03-AB2C6809614C}">
      <text>
        <r>
          <rPr>
            <sz val="9"/>
            <color indexed="81"/>
            <rFont val="Tahoma"/>
            <family val="2"/>
          </rPr>
          <t>Choose the type of Data Centre being rated</t>
        </r>
      </text>
    </comment>
    <comment ref="E16" authorId="0" shapeId="0" xr:uid="{4AE6CCD4-63B4-4FC7-8536-37649F556FB6}">
      <text>
        <r>
          <rPr>
            <sz val="8"/>
            <color indexed="81"/>
            <rFont val="Tahoma"/>
            <family val="2"/>
          </rPr>
          <t>Enter the NABERS Energy Star Rating you wish to achieve</t>
        </r>
      </text>
    </comment>
    <comment ref="I23" authorId="0" shapeId="0" xr:uid="{4DF96842-7553-4A93-A598-DE547C0A2286}">
      <text>
        <r>
          <rPr>
            <b/>
            <sz val="8"/>
            <color indexed="81"/>
            <rFont val="Tahoma"/>
            <family val="2"/>
          </rPr>
          <t>Enter the postcode of the Data Centre</t>
        </r>
      </text>
    </comment>
    <comment ref="I24" authorId="0" shapeId="0" xr:uid="{7E47F16A-5693-49BD-A5F5-EA67D4F3AEF0}">
      <text>
        <r>
          <rPr>
            <b/>
            <sz val="8"/>
            <color indexed="81"/>
            <rFont val="Tahoma"/>
            <family val="2"/>
          </rPr>
          <t xml:space="preserve">Enter the 'Processing Capacity' of the Data Centre
</t>
        </r>
        <r>
          <rPr>
            <sz val="8"/>
            <color indexed="81"/>
            <rFont val="Tahoma"/>
            <family val="2"/>
          </rPr>
          <t>NABERS Energy for Data Centres Rules 1.1 - Section 3</t>
        </r>
      </text>
    </comment>
    <comment ref="I25" authorId="0" shapeId="0" xr:uid="{70A14561-D756-4C87-95F6-AD09AEAF0A30}">
      <text>
        <r>
          <rPr>
            <b/>
            <sz val="8"/>
            <color indexed="81"/>
            <rFont val="Tahoma"/>
            <family val="2"/>
          </rPr>
          <t xml:space="preserve">Enter the 'Storage Capacity' of the Data Centre
</t>
        </r>
        <r>
          <rPr>
            <sz val="8"/>
            <color indexed="81"/>
            <rFont val="Tahoma"/>
            <family val="2"/>
          </rPr>
          <t xml:space="preserve">
NABERS Energy for Data Centres Rules 1.1 - Section 4</t>
        </r>
      </text>
    </comment>
    <comment ref="I26" authorId="0" shapeId="0" xr:uid="{E28C7EC3-8BBF-4676-B9CE-9AD6E16437DF}">
      <text>
        <r>
          <rPr>
            <b/>
            <sz val="8"/>
            <color indexed="81"/>
            <rFont val="Tahoma"/>
            <family val="2"/>
          </rPr>
          <t xml:space="preserve">Enter the 'Rating Period' length IT Equipment rating of the Data Centre
</t>
        </r>
        <r>
          <rPr>
            <sz val="8"/>
            <color indexed="81"/>
            <rFont val="Tahoma"/>
            <family val="2"/>
          </rPr>
          <t>NABERS Energy for Data Centres Rules 1.1 - Section 7.2</t>
        </r>
      </text>
    </comment>
    <comment ref="I27" authorId="0" shapeId="0" xr:uid="{E5677052-BA2A-46D6-A4F4-6BD88F5E0340}">
      <text>
        <r>
          <rPr>
            <b/>
            <sz val="8"/>
            <color indexed="81"/>
            <rFont val="Tahoma"/>
            <family val="2"/>
          </rPr>
          <t xml:space="preserve">Enter the '% Metered Hear Rejection' of the Data Centre
</t>
        </r>
        <r>
          <rPr>
            <sz val="8"/>
            <color indexed="81"/>
            <rFont val="Tahoma"/>
            <family val="2"/>
          </rPr>
          <t>NABERS Energy for Data Centres Rules 1.1 - Section 7.5.8</t>
        </r>
      </text>
    </comment>
    <comment ref="I28" authorId="0" shapeId="0" xr:uid="{34AEEBAC-F8A2-46B2-959A-3977CAB5C81B}">
      <text>
        <r>
          <rPr>
            <b/>
            <sz val="8"/>
            <color indexed="81"/>
            <rFont val="Tahoma"/>
            <family val="2"/>
          </rPr>
          <t xml:space="preserve">Enter the Assessable "IT Equipment Energy" for Infrastructure Rating
</t>
        </r>
        <r>
          <rPr>
            <sz val="8"/>
            <color indexed="81"/>
            <rFont val="Tahoma"/>
            <family val="2"/>
          </rPr>
          <t>NABERS Energy  for Data Centres Rules 1.1 - Section 8.5.2.1</t>
        </r>
      </text>
    </comment>
    <comment ref="I30" authorId="0" shapeId="0" xr:uid="{1A744D51-E55E-45BC-8C43-DD34E4308737}">
      <text>
        <r>
          <rPr>
            <sz val="8"/>
            <color indexed="81"/>
            <rFont val="Tahoma"/>
            <family val="2"/>
          </rPr>
          <t>Enter the percentage of Data Centre energy use that will be met through electricity</t>
        </r>
      </text>
    </comment>
    <comment ref="I31" authorId="0" shapeId="0" xr:uid="{BBC04C0C-8EBA-44E4-B2CC-F16F725F695B}">
      <text>
        <r>
          <rPr>
            <sz val="8"/>
            <color indexed="81"/>
            <rFont val="Tahoma"/>
            <family val="2"/>
          </rPr>
          <t>Enter the percentage of Data Centre energy use that will be met through diesel</t>
        </r>
      </text>
    </comment>
    <comment ref="G35" authorId="0" shapeId="0" xr:uid="{FB7C0320-D9BF-4364-9507-5088AF66270F}">
      <text>
        <r>
          <rPr>
            <sz val="9"/>
            <color indexed="81"/>
            <rFont val="Tahoma"/>
            <family val="2"/>
          </rPr>
          <t xml:space="preserve">Benchmarking Emissions are used for calculating the NABERS Energy star rating and are based on NGA factors from the time the rating was devloped.
</t>
        </r>
      </text>
    </comment>
    <comment ref="G37" authorId="0" shapeId="0" xr:uid="{AA24B0E0-BB3F-4F3A-9BDC-A924D2394F0D}">
      <text>
        <r>
          <rPr>
            <sz val="9"/>
            <color indexed="81"/>
            <rFont val="Tahoma"/>
            <family val="2"/>
          </rPr>
          <t xml:space="preserve">Benchmarking Emissions are used for calculating the NABERS Energy star rating and are based on NGA factors from the time the rating was devloped.
</t>
        </r>
      </text>
    </comment>
    <comment ref="G42" authorId="0" shapeId="0" xr:uid="{D4438321-3D8C-4BD5-B643-AA283E6E6966}">
      <text>
        <r>
          <rPr>
            <sz val="9"/>
            <color indexed="81"/>
            <rFont val="Tahoma"/>
            <family val="2"/>
          </rPr>
          <t xml:space="preserve">Reporting Emissions are used for NGER reporting and are based on current NGA factors
</t>
        </r>
      </text>
    </comment>
    <comment ref="G44" authorId="0" shapeId="0" xr:uid="{0EFC44B5-9290-4715-8A73-FB2034138D40}">
      <text>
        <r>
          <rPr>
            <sz val="9"/>
            <color indexed="81"/>
            <rFont val="Tahoma"/>
            <family val="2"/>
          </rPr>
          <t xml:space="preserve">Reporting Emissions are used for NGER reporting and are based on current NGA factors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E35D9879-F906-4DD3-866E-C2969EDD178C}">
      <text>
        <r>
          <rPr>
            <sz val="9"/>
            <color indexed="81"/>
            <rFont val="Tahoma"/>
            <family val="2"/>
          </rPr>
          <t>Enter the NABERS Energy Star Rating you wish to achieve</t>
        </r>
      </text>
    </comment>
    <comment ref="E14" authorId="0" shapeId="0" xr:uid="{168402FC-CC27-48A3-889B-FE5A2F6D9C61}">
      <text>
        <r>
          <rPr>
            <sz val="9"/>
            <color indexed="81"/>
            <rFont val="Tahoma"/>
            <family val="2"/>
          </rPr>
          <t>Enter the NABERS Water Star Rating you wish to achieve</t>
        </r>
      </text>
    </comment>
    <comment ref="I21" authorId="0" shapeId="0" xr:uid="{C6B2FFAA-0DFD-43C1-818A-163B4BB6B041}">
      <text>
        <r>
          <rPr>
            <b/>
            <sz val="8"/>
            <color indexed="81"/>
            <rFont val="Tahoma"/>
            <family val="2"/>
          </rPr>
          <t>Enter the Postcode of the Hotel</t>
        </r>
      </text>
    </comment>
    <comment ref="I22" authorId="0" shapeId="0" xr:uid="{83F316F3-2B29-40D5-B580-A93BB75420AD}">
      <text>
        <r>
          <rPr>
            <b/>
            <sz val="8"/>
            <color indexed="81"/>
            <rFont val="Tahoma"/>
            <family val="2"/>
          </rPr>
          <t xml:space="preserve">Enter the Hotel Star Rating
</t>
        </r>
        <r>
          <rPr>
            <sz val="8"/>
            <color indexed="81"/>
            <rFont val="Tahoma"/>
            <family val="2"/>
          </rPr>
          <t>NABERS Energy and Water for Hotels Rules 3.2 - Section 4</t>
        </r>
      </text>
    </comment>
    <comment ref="I23" authorId="0" shapeId="0" xr:uid="{07EBA4D3-6277-4690-90F9-3E933FD8D630}">
      <text>
        <r>
          <rPr>
            <b/>
            <sz val="8"/>
            <color indexed="81"/>
            <rFont val="Tahoma"/>
            <family val="2"/>
          </rPr>
          <t xml:space="preserve">Enter the Number of Hotel Guest Rooms
</t>
        </r>
        <r>
          <rPr>
            <sz val="8"/>
            <color indexed="81"/>
            <rFont val="Tahoma"/>
            <family val="2"/>
          </rPr>
          <t>NABERS Energy and Water for Hotels Rules 3.2 - Section 3</t>
        </r>
      </text>
    </comment>
    <comment ref="I24" authorId="0" shapeId="0" xr:uid="{87137F78-4408-49BC-93E3-C75371BE3763}">
      <text>
        <r>
          <rPr>
            <b/>
            <sz val="8"/>
            <color indexed="81"/>
            <rFont val="Tahoma"/>
            <family val="2"/>
          </rPr>
          <t xml:space="preserve">Enter the Number of Guest Rooms with Full Service Laundering
</t>
        </r>
        <r>
          <rPr>
            <sz val="8"/>
            <color indexed="81"/>
            <rFont val="Tahoma"/>
            <family val="2"/>
          </rPr>
          <t>NABERS Energy and Water for Hotels Rules 3.2 - Section 5</t>
        </r>
      </text>
    </comment>
    <comment ref="I25" authorId="0" shapeId="0" xr:uid="{5EB878A9-AD35-4FD6-9660-093321F8A9DC}">
      <text>
        <r>
          <rPr>
            <b/>
            <sz val="8"/>
            <color indexed="81"/>
            <rFont val="Tahoma"/>
            <family val="2"/>
          </rPr>
          <t xml:space="preserve">Enter the Number of Function Room Seats
</t>
        </r>
        <r>
          <rPr>
            <sz val="8"/>
            <color indexed="81"/>
            <rFont val="Tahoma"/>
            <family val="2"/>
          </rPr>
          <t>NABERS Energy and Water for Hotels Rules 3.2 - Section 6</t>
        </r>
      </text>
    </comment>
    <comment ref="I26" authorId="0" shapeId="0" xr:uid="{9A16DE8E-4835-43A0-9CD3-07C1AB2AE23B}">
      <text>
        <r>
          <rPr>
            <b/>
            <sz val="8"/>
            <color indexed="81"/>
            <rFont val="Tahoma"/>
            <family val="2"/>
          </rPr>
          <t xml:space="preserve">Enter the Area of Heated Pools
</t>
        </r>
        <r>
          <rPr>
            <sz val="8"/>
            <color indexed="81"/>
            <rFont val="Tahoma"/>
            <family val="2"/>
          </rPr>
          <t>NABERS Energy and Water for Hotels Rules 3.2 - Section 7</t>
        </r>
      </text>
    </comment>
    <comment ref="I28" authorId="0" shapeId="0" xr:uid="{71C39DD3-7E12-40ED-B7CE-63D25D3D166F}">
      <text>
        <r>
          <rPr>
            <sz val="8"/>
            <color indexed="81"/>
            <rFont val="Tahoma"/>
            <family val="2"/>
          </rPr>
          <t>Enter the percentage of Hotel energy use that will be met through electricity</t>
        </r>
      </text>
    </comment>
    <comment ref="I29" authorId="0" shapeId="0" xr:uid="{4CD40959-A1AB-4A3C-84D9-DD51744234AA}">
      <text>
        <r>
          <rPr>
            <sz val="8"/>
            <color indexed="81"/>
            <rFont val="Tahoma"/>
            <family val="2"/>
          </rPr>
          <t>Enter the percentage of Hotel energy use that will be met through gas</t>
        </r>
      </text>
    </comment>
    <comment ref="I30" authorId="0" shapeId="0" xr:uid="{F3B1D95A-70E2-46E0-9296-8497D608BBB7}">
      <text>
        <r>
          <rPr>
            <sz val="8"/>
            <color indexed="81"/>
            <rFont val="Tahoma"/>
            <family val="2"/>
          </rPr>
          <t>Enter the percentage of Hotel energy use that will be met through diesel</t>
        </r>
      </text>
    </comment>
    <comment ref="G35" authorId="0" shapeId="0" xr:uid="{909320AF-191D-4D8B-9E89-C4675A0F2767}">
      <text>
        <r>
          <rPr>
            <sz val="9"/>
            <color indexed="81"/>
            <rFont val="Tahoma"/>
            <family val="2"/>
          </rPr>
          <t xml:space="preserve">Benchmarking Emissions are used for calculating the NABERS Energy star rating and are based on NGA factors from the time the rating was devloped.
</t>
        </r>
      </text>
    </comment>
    <comment ref="G37" authorId="0" shapeId="0" xr:uid="{928251F4-FD3B-4053-968F-2B62E6E319AA}">
      <text>
        <r>
          <rPr>
            <sz val="9"/>
            <color indexed="81"/>
            <rFont val="Tahoma"/>
            <family val="2"/>
          </rPr>
          <t xml:space="preserve">Benchmarking Emissions are used for calculating the NABERS Energy star rating and are based on NGA factors from the time the rating was devloped.
</t>
        </r>
      </text>
    </comment>
    <comment ref="G40" authorId="0" shapeId="0" xr:uid="{9E08CA56-ED44-4E12-B51E-49C39A53F16C}">
      <text>
        <r>
          <rPr>
            <sz val="9"/>
            <color indexed="81"/>
            <rFont val="Tahoma"/>
            <family val="2"/>
          </rPr>
          <t xml:space="preserve">Reporting Emissions are used for NGER reporting and are based on current NGA factors
</t>
        </r>
      </text>
    </comment>
    <comment ref="G42" authorId="0" shapeId="0" xr:uid="{081D9EDC-C3AF-49EF-A8E2-69CCB062D8A1}">
      <text>
        <r>
          <rPr>
            <sz val="9"/>
            <color indexed="81"/>
            <rFont val="Tahoma"/>
            <family val="2"/>
          </rPr>
          <t xml:space="preserve">Reporting Emissions are used for NGER reporting and are based on current NGA factors
</t>
        </r>
      </text>
    </comment>
    <comment ref="G45" authorId="0" shapeId="0" xr:uid="{9C400AB0-A9BC-423D-A706-A924667612DD}">
      <text>
        <r>
          <rPr>
            <sz val="9"/>
            <color indexed="81"/>
            <rFont val="Tahoma"/>
            <family val="2"/>
          </rPr>
          <t xml:space="preserve">Benchmarking Emissions are used for calculating the NABERS Energy star rating and are based on NGA factors from the time the rating was devloped.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35FA5A86-AD6E-4472-82C8-C7BAB1C6A2B2}">
      <text>
        <r>
          <rPr>
            <sz val="9"/>
            <color indexed="81"/>
            <rFont val="Tahoma"/>
            <family val="2"/>
          </rPr>
          <t>Enter the NABERS Energy Star Rating you wish to achieve</t>
        </r>
      </text>
    </comment>
    <comment ref="E14" authorId="0" shapeId="0" xr:uid="{42B4C761-E483-4EC4-A3D9-BEEC70464799}">
      <text>
        <r>
          <rPr>
            <sz val="9"/>
            <color indexed="81"/>
            <rFont val="Tahoma"/>
            <family val="2"/>
          </rPr>
          <t>Enter the NABERS Water Star Rating you wish to achieve</t>
        </r>
      </text>
    </comment>
    <comment ref="I21" authorId="0" shapeId="0" xr:uid="{3FF49451-CD22-438A-A2A4-60B7591A864D}">
      <text>
        <r>
          <rPr>
            <b/>
            <sz val="8"/>
            <color indexed="81"/>
            <rFont val="Tahoma"/>
            <family val="2"/>
          </rPr>
          <t>Enter the Postcode of the Shopping Centre</t>
        </r>
      </text>
    </comment>
    <comment ref="I22" authorId="0" shapeId="0" xr:uid="{B159AFD0-ACDB-4580-BCEB-7AE6E413FA13}">
      <text>
        <r>
          <rPr>
            <b/>
            <sz val="8"/>
            <color indexed="81"/>
            <rFont val="Tahoma"/>
            <family val="2"/>
          </rPr>
          <t xml:space="preserve">Choose if the Shopping Centre is Single Storey or Multi Storey
</t>
        </r>
        <r>
          <rPr>
            <sz val="8"/>
            <color indexed="81"/>
            <rFont val="Tahoma"/>
            <family val="2"/>
          </rPr>
          <t>NABERS Energy and Water for Shopping Centres Rules 4.0 - Section 8</t>
        </r>
      </text>
    </comment>
    <comment ref="I23" authorId="0" shapeId="0" xr:uid="{7AC072E1-F51D-4B58-BBB0-051C7E53E3DB}">
      <text>
        <r>
          <rPr>
            <b/>
            <sz val="8"/>
            <color indexed="81"/>
            <rFont val="Tahoma"/>
            <family val="2"/>
          </rPr>
          <t xml:space="preserve">Enter the Total Shopping Centre Area, GLAR (m²)
</t>
        </r>
        <r>
          <rPr>
            <sz val="8"/>
            <color indexed="81"/>
            <rFont val="Tahoma"/>
            <family val="2"/>
          </rPr>
          <t>NABERS Energy and Water for Shopping Centres Rules 4.0 - Section 4</t>
        </r>
      </text>
    </comment>
    <comment ref="I24" authorId="0" shapeId="0" xr:uid="{A90D4D51-BF81-421C-8A57-75F9C4DC6E3B}">
      <text>
        <r>
          <rPr>
            <b/>
            <sz val="8"/>
            <color indexed="81"/>
            <rFont val="Tahoma"/>
            <family val="2"/>
          </rPr>
          <t xml:space="preserve">Enter the Central Serviced Shopping Centre Area (m²)
</t>
        </r>
        <r>
          <rPr>
            <sz val="8"/>
            <color indexed="81"/>
            <rFont val="Tahoma"/>
            <family val="2"/>
          </rPr>
          <t>NABERS Energy and Water for Shopping Centres Rules 4.0 - Section 4</t>
        </r>
      </text>
    </comment>
    <comment ref="I25" authorId="0" shapeId="0" xr:uid="{3C3E571A-B05A-4F5A-B396-FCEA61BBC077}">
      <text>
        <r>
          <rPr>
            <b/>
            <sz val="8"/>
            <color indexed="81"/>
            <rFont val="Tahoma"/>
            <family val="2"/>
          </rPr>
          <t xml:space="preserve">Enter the Annal Number of Trading Days
</t>
        </r>
        <r>
          <rPr>
            <sz val="8"/>
            <color indexed="81"/>
            <rFont val="Tahoma"/>
            <family val="2"/>
          </rPr>
          <t>NABERS Energy and Water for Shopping Centres Rules 4.0 - Section 6</t>
        </r>
      </text>
    </comment>
    <comment ref="I26" authorId="0" shapeId="0" xr:uid="{18CD8062-DE6E-4C67-9552-F01A900F4F89}">
      <text>
        <r>
          <rPr>
            <b/>
            <sz val="8"/>
            <color indexed="81"/>
            <rFont val="Tahoma"/>
            <family val="2"/>
          </rPr>
          <t xml:space="preserve">Enter the Weekly Hours of Service
</t>
        </r>
        <r>
          <rPr>
            <sz val="8"/>
            <color indexed="81"/>
            <rFont val="Tahoma"/>
            <family val="2"/>
          </rPr>
          <t>NABERS Energy and Water for Shopping Centres Rules 4.0 - Section 5</t>
        </r>
      </text>
    </comment>
    <comment ref="I27" authorId="0" shapeId="0" xr:uid="{EA204BAC-3D82-4409-BE35-4502AEF73A2D}">
      <text>
        <r>
          <rPr>
            <b/>
            <sz val="8"/>
            <color indexed="81"/>
            <rFont val="Tahoma"/>
            <family val="2"/>
          </rPr>
          <t xml:space="preserve">Enter the Number of Mechanically Ventilated Car Parking Spaces
</t>
        </r>
        <r>
          <rPr>
            <sz val="8"/>
            <color indexed="81"/>
            <rFont val="Tahoma"/>
            <family val="2"/>
          </rPr>
          <t>NABERS Energy and Water for Shopping Centres Rules 4.0 - Section 7</t>
        </r>
      </text>
    </comment>
    <comment ref="I28" authorId="0" shapeId="0" xr:uid="{0AEA5A4D-4319-4D9E-955C-EF94DB8D4F42}">
      <text>
        <r>
          <rPr>
            <b/>
            <sz val="8"/>
            <color indexed="81"/>
            <rFont val="Tahoma"/>
            <family val="2"/>
          </rPr>
          <t xml:space="preserve">Enter the Number of Naturally Ventilated Car Parking Spaces
</t>
        </r>
        <r>
          <rPr>
            <sz val="8"/>
            <color indexed="81"/>
            <rFont val="Tahoma"/>
            <family val="2"/>
          </rPr>
          <t>NABERS Energy and Water for Shopping Centres Rules 4.0 - Section 7</t>
        </r>
      </text>
    </comment>
    <comment ref="I29" authorId="0" shapeId="0" xr:uid="{262A76AD-CF71-4AE8-9795-54A4822A9C4E}">
      <text>
        <r>
          <rPr>
            <b/>
            <sz val="8"/>
            <color indexed="81"/>
            <rFont val="Tahoma"/>
            <family val="2"/>
          </rPr>
          <t xml:space="preserve">Enter the Number of Food Court Seats
</t>
        </r>
        <r>
          <rPr>
            <sz val="8"/>
            <color indexed="81"/>
            <rFont val="Tahoma"/>
            <family val="2"/>
          </rPr>
          <t>NABERS Energy and Water for Shopping Centres Rules 4.0 - Section 9</t>
        </r>
      </text>
    </comment>
    <comment ref="I30" authorId="0" shapeId="0" xr:uid="{D857E765-0CE6-4634-8EC6-24C8A99D0D9B}">
      <text>
        <r>
          <rPr>
            <b/>
            <sz val="8"/>
            <color indexed="81"/>
            <rFont val="Tahoma"/>
            <family val="2"/>
          </rPr>
          <t xml:space="preserve">Enter the Number of Cinema Theatrettes
</t>
        </r>
        <r>
          <rPr>
            <sz val="8"/>
            <color indexed="81"/>
            <rFont val="Tahoma"/>
            <family val="2"/>
          </rPr>
          <t>NABERS Energy and Water for Shopping Centres Rules 4.0 - Section 11</t>
        </r>
      </text>
    </comment>
    <comment ref="I31" authorId="0" shapeId="0" xr:uid="{DF0D8585-40AA-4CAD-91F9-B5F0DB3E2F99}">
      <text>
        <r>
          <rPr>
            <b/>
            <sz val="8"/>
            <color indexed="81"/>
            <rFont val="Tahoma"/>
            <family val="2"/>
          </rPr>
          <t>Enter the Total Gymnasium Area GLAR (m²) within the Shopping Centre</t>
        </r>
        <r>
          <rPr>
            <sz val="8"/>
            <color indexed="81"/>
            <rFont val="Tahoma"/>
            <family val="2"/>
          </rPr>
          <t xml:space="preserve">
NABERS Energy and Water for Shopping Centres Rules 4.0 - Section 10</t>
        </r>
      </text>
    </comment>
    <comment ref="I32" authorId="0" shapeId="0" xr:uid="{7D67BE80-3C34-48FE-BE96-5E0D17CACA3B}">
      <text>
        <r>
          <rPr>
            <b/>
            <sz val="8"/>
            <color indexed="81"/>
            <rFont val="Tahoma"/>
            <family val="2"/>
          </rPr>
          <t xml:space="preserve">Enter the Serviced Gymnasium Area GLAR (m²) within the Small Shopping Centre
</t>
        </r>
        <r>
          <rPr>
            <sz val="8"/>
            <color indexed="81"/>
            <rFont val="Tahoma"/>
            <family val="2"/>
          </rPr>
          <t>NABERS Energy and Water for Shopping Centres Rules 4.0 - Section 10</t>
        </r>
      </text>
    </comment>
    <comment ref="I34" authorId="0" shapeId="0" xr:uid="{D4FA89F3-76FC-424C-9151-13586F561F08}">
      <text>
        <r>
          <rPr>
            <sz val="8"/>
            <color indexed="81"/>
            <rFont val="Tahoma"/>
            <family val="2"/>
          </rPr>
          <t>Enter the percentage of Shopping Centre energy use that will be met through electricity</t>
        </r>
      </text>
    </comment>
    <comment ref="I35" authorId="0" shapeId="0" xr:uid="{35068CB8-AB47-47C7-92A6-05FA486A5FBF}">
      <text>
        <r>
          <rPr>
            <sz val="8"/>
            <color indexed="81"/>
            <rFont val="Tahoma"/>
            <family val="2"/>
          </rPr>
          <t>Enter the percentage of Shopping Centre energy use that will be met through gas</t>
        </r>
      </text>
    </comment>
    <comment ref="I36" authorId="0" shapeId="0" xr:uid="{9EAB8CE0-F5ED-4E5D-9E81-68D800935213}">
      <text>
        <r>
          <rPr>
            <sz val="8"/>
            <color indexed="81"/>
            <rFont val="Tahoma"/>
            <family val="2"/>
          </rPr>
          <t>Enter the percentage of Shopping Centre energy use that will be met through diesel</t>
        </r>
      </text>
    </comment>
    <comment ref="G41" authorId="0" shapeId="0" xr:uid="{313B884B-3587-45EC-A7FD-EBD7A9075A73}">
      <text>
        <r>
          <rPr>
            <sz val="9"/>
            <color indexed="81"/>
            <rFont val="Tahoma"/>
            <family val="2"/>
          </rPr>
          <t xml:space="preserve">Benchmarking Emissions are used for calculating the NABERS Energy star rating and are based on NGA factors from the time the rating was devloped.
</t>
        </r>
      </text>
    </comment>
    <comment ref="G43" authorId="0" shapeId="0" xr:uid="{CB04EB2D-6A24-43E7-BB69-F89B2D4C7F66}">
      <text>
        <r>
          <rPr>
            <sz val="9"/>
            <color indexed="81"/>
            <rFont val="Tahoma"/>
            <family val="2"/>
          </rPr>
          <t xml:space="preserve">Benchmarking Emissions are used for calculating the NABERS Energy star rating and are based on NGA factors from the time the rating was devloped.
</t>
        </r>
      </text>
    </comment>
    <comment ref="G46" authorId="0" shapeId="0" xr:uid="{508B4F69-360E-4D15-A867-2EF93BBB8D97}">
      <text>
        <r>
          <rPr>
            <sz val="9"/>
            <color indexed="81"/>
            <rFont val="Tahoma"/>
            <family val="2"/>
          </rPr>
          <t xml:space="preserve">Reporting Emissions are used for NGER reporting and are based on current NGA factors
</t>
        </r>
      </text>
    </comment>
    <comment ref="G48" authorId="0" shapeId="0" xr:uid="{3C53E224-6B48-4161-BB8D-630F15015B37}">
      <text>
        <r>
          <rPr>
            <sz val="9"/>
            <color indexed="81"/>
            <rFont val="Tahoma"/>
            <family val="2"/>
          </rPr>
          <t xml:space="preserve">Reporting Emissions are used for NGER reporting and are based on current NGA factors
</t>
        </r>
      </text>
    </comment>
    <comment ref="G51" authorId="0" shapeId="0" xr:uid="{7A14589A-49E9-4D07-8643-29A0974C7C3F}">
      <text>
        <r>
          <rPr>
            <sz val="9"/>
            <color indexed="81"/>
            <rFont val="Tahoma"/>
            <family val="2"/>
          </rPr>
          <t xml:space="preserve">Benchmarking Emissions are used for calculating the NABERS Energy star rating and are based on NGA factors from the time the rating was devloped.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G45" authorId="0" shapeId="0" xr:uid="{292F2054-DDDC-4CEB-9A03-031A909FAAA5}">
      <text>
        <r>
          <rPr>
            <sz val="9"/>
            <color indexed="81"/>
            <rFont val="Tahoma"/>
            <family val="2"/>
          </rPr>
          <t xml:space="preserve">Benchmarking Emissions are used for calculating the NABERS Energy star rating and are based on NGA factors from the time the rating was devloped.
</t>
        </r>
      </text>
    </comment>
    <comment ref="G47" authorId="0" shapeId="0" xr:uid="{3E6DF7DF-81AB-4B6A-B706-EAF16B5E4C7E}">
      <text>
        <r>
          <rPr>
            <sz val="9"/>
            <color indexed="81"/>
            <rFont val="Tahoma"/>
            <family val="2"/>
          </rPr>
          <t xml:space="preserve">Benchmarking Emissions are used for calculating the NABERS Energy star rating and are based on NGA factors from the time the rating was devloped.
</t>
        </r>
      </text>
    </comment>
    <comment ref="G50" authorId="0" shapeId="0" xr:uid="{A66F3D13-23E4-4298-9182-98A483921D25}">
      <text>
        <r>
          <rPr>
            <sz val="9"/>
            <color indexed="81"/>
            <rFont val="Tahoma"/>
            <family val="2"/>
          </rPr>
          <t xml:space="preserve">Benchmarking Emissions are used for calculating the NABERS Energy star rating and are based on NGA factors from the time the rating was devloped.
</t>
        </r>
      </text>
    </comment>
    <comment ref="G52" authorId="0" shapeId="0" xr:uid="{35B0E8A3-6042-42D5-9125-D9C15DE9DA5E}">
      <text>
        <r>
          <rPr>
            <sz val="9"/>
            <color indexed="81"/>
            <rFont val="Tahoma"/>
            <family val="2"/>
          </rPr>
          <t xml:space="preserve">Benchmarking Emissions are used for calculating the NABERS Energy star rating and are based on NGA factors from the time the rating was devloped.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Valued Gateway Client</author>
    <author>ErinHeinrich</author>
  </authors>
  <commentList>
    <comment ref="I99" authorId="0" shapeId="0" xr:uid="{DE922F92-4CB4-41D6-9921-9058C78A360D}">
      <text>
        <r>
          <rPr>
            <b/>
            <sz val="8"/>
            <color indexed="81"/>
            <rFont val="Tahoma"/>
            <family val="2"/>
          </rPr>
          <t xml:space="preserve">Erica Kenna: </t>
        </r>
        <r>
          <rPr>
            <sz val="8"/>
            <color indexed="81"/>
            <rFont val="Tahoma"/>
            <family val="2"/>
          </rPr>
          <t>Unitless.</t>
        </r>
        <r>
          <rPr>
            <b/>
            <sz val="8"/>
            <color indexed="81"/>
            <rFont val="Tahoma"/>
            <family val="2"/>
          </rPr>
          <t xml:space="preserve"> </t>
        </r>
        <r>
          <rPr>
            <sz val="8"/>
            <color indexed="81"/>
            <rFont val="Tahoma"/>
            <family val="2"/>
          </rPr>
          <t>Gives results in kWh, not kgCO2.</t>
        </r>
      </text>
    </comment>
    <comment ref="J99" authorId="0" shapeId="0" xr:uid="{A4611957-7A70-4F32-AD99-01764D9F8EEA}">
      <text>
        <r>
          <rPr>
            <b/>
            <sz val="8"/>
            <color indexed="81"/>
            <rFont val="Tahoma"/>
            <family val="2"/>
          </rPr>
          <t xml:space="preserve">Erica Kenna: </t>
        </r>
        <r>
          <rPr>
            <sz val="8"/>
            <color indexed="81"/>
            <rFont val="Tahoma"/>
            <family val="2"/>
          </rPr>
          <t>Unitless. Gives results in kWh, not kgCO2 per kWh.</t>
        </r>
      </text>
    </comment>
    <comment ref="K99" authorId="1" shapeId="0" xr:uid="{3BD0B845-2484-400F-994F-77DF7FEFFC6F}">
      <text>
        <r>
          <rPr>
            <b/>
            <sz val="8"/>
            <color indexed="81"/>
            <rFont val="Tahoma"/>
            <family val="2"/>
          </rPr>
          <t>Note:</t>
        </r>
        <r>
          <rPr>
            <sz val="8"/>
            <color indexed="81"/>
            <rFont val="Tahoma"/>
            <family val="2"/>
          </rPr>
          <t xml:space="preserve"> Unitless. Gives results in kWh, not kgCO2 per kWh.
Updated 5/4/2011 - EH.</t>
        </r>
      </text>
    </comment>
    <comment ref="L99" authorId="0" shapeId="0" xr:uid="{F092D994-7CD2-492C-ABBD-232C67516067}">
      <text>
        <r>
          <rPr>
            <b/>
            <sz val="8"/>
            <color indexed="81"/>
            <rFont val="Tahoma"/>
            <family val="2"/>
          </rPr>
          <t xml:space="preserve">Note: </t>
        </r>
        <r>
          <rPr>
            <sz val="8"/>
            <color indexed="81"/>
            <rFont val="Tahoma"/>
            <family val="2"/>
          </rPr>
          <t>Unitless. Gives results in kWh, not kgCO2 per kWh.
Updated 5/4/2011 - EH.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Sam Moffitt</author>
    <author>Sian Gibbons</author>
  </authors>
  <commentList>
    <comment ref="E12" authorId="0" shapeId="0" xr:uid="{A8F19597-8ED9-4F5F-9D55-F6320B60EE5C}">
      <text>
        <r>
          <rPr>
            <sz val="9"/>
            <color indexed="81"/>
            <rFont val="Tahoma"/>
            <family val="2"/>
          </rPr>
          <t>Enter the NABERS Energy Star Rating you wish to achieve</t>
        </r>
      </text>
    </comment>
    <comment ref="E14" authorId="0" shapeId="0" xr:uid="{624D2893-42BF-4CFE-B998-EC920165C6A3}">
      <text>
        <r>
          <rPr>
            <sz val="9"/>
            <color indexed="81"/>
            <rFont val="Tahoma"/>
            <family val="2"/>
          </rPr>
          <t>Enter the NABERS Water Star Rating you wish to achieve</t>
        </r>
      </text>
    </comment>
    <comment ref="I21" authorId="1" shapeId="0" xr:uid="{B3E960FF-EEF7-42BD-B09F-4B6FCA7DF5AD}">
      <text>
        <r>
          <rPr>
            <b/>
            <sz val="8"/>
            <color indexed="81"/>
            <rFont val="Tahoma"/>
            <family val="2"/>
          </rPr>
          <t>Enter the Postcode of the Hospital</t>
        </r>
      </text>
    </comment>
    <comment ref="I22" authorId="1" shapeId="0" xr:uid="{E4505ADB-8794-4F80-B28C-2AA5588755DD}">
      <text>
        <r>
          <rPr>
            <b/>
            <sz val="8"/>
            <color indexed="81"/>
            <rFont val="Tahoma"/>
            <family val="2"/>
          </rPr>
          <t xml:space="preserve">Enter the "Peer Group* of the Hospital
</t>
        </r>
        <r>
          <rPr>
            <sz val="8"/>
            <color indexed="81"/>
            <rFont val="Tahoma"/>
            <family val="2"/>
          </rPr>
          <t>NABERS Energy and Water for Hospitals  Rules 1.0 - Appendix 10.3</t>
        </r>
      </text>
    </comment>
    <comment ref="I23" authorId="1" shapeId="0" xr:uid="{63BA7B73-B18E-4230-8E58-D6B7D7115A3F}">
      <text>
        <r>
          <rPr>
            <b/>
            <sz val="8"/>
            <color indexed="81"/>
            <rFont val="Tahoma"/>
            <family val="2"/>
          </rPr>
          <t xml:space="preserve">Enter the "Occupied Bed Days" for the Hospital
</t>
        </r>
        <r>
          <rPr>
            <sz val="8"/>
            <color indexed="81"/>
            <rFont val="Tahoma"/>
            <family val="2"/>
          </rPr>
          <t>NABERS Energy and Water for Hospitals  Rules 1.0 - Section 3</t>
        </r>
      </text>
    </comment>
    <comment ref="I24" authorId="1" shapeId="0" xr:uid="{82BB0201-8FAC-47CB-AA3B-51C02E6AE471}">
      <text>
        <r>
          <rPr>
            <b/>
            <sz val="8"/>
            <color indexed="81"/>
            <rFont val="Tahoma"/>
            <family val="2"/>
          </rPr>
          <t xml:space="preserve">Enter the "Separations" for the Hospital
</t>
        </r>
        <r>
          <rPr>
            <sz val="8"/>
            <color indexed="81"/>
            <rFont val="Tahoma"/>
            <family val="2"/>
          </rPr>
          <t xml:space="preserve">
NABERS Energy and Water for Hospitals  Rules 1.0 - Section 4</t>
        </r>
      </text>
    </comment>
    <comment ref="I25" authorId="1" shapeId="0" xr:uid="{E1D7988E-E465-49AB-BF79-4704827499F7}">
      <text>
        <r>
          <rPr>
            <b/>
            <sz val="8"/>
            <color indexed="81"/>
            <rFont val="Tahoma"/>
            <family val="2"/>
          </rPr>
          <t xml:space="preserve">Enter the Number of "Commonwealth funded aged care beds" in the Hospital
</t>
        </r>
        <r>
          <rPr>
            <sz val="8"/>
            <color indexed="81"/>
            <rFont val="Tahoma"/>
            <family val="2"/>
          </rPr>
          <t>NABERS Energy and Water for Hospitals  Rules 1.0 - Section 5</t>
        </r>
      </text>
    </comment>
    <comment ref="I26" authorId="1" shapeId="0" xr:uid="{BFCCDBCC-447A-4FB7-A358-4D9B91AB095A}">
      <text>
        <r>
          <rPr>
            <b/>
            <sz val="8"/>
            <color indexed="81"/>
            <rFont val="Tahoma"/>
            <family val="2"/>
          </rPr>
          <t xml:space="preserve">Enter the Number of "Commonwealth funded aged care bed-days" in the Hospital (if available)
</t>
        </r>
        <r>
          <rPr>
            <sz val="8"/>
            <color indexed="81"/>
            <rFont val="Tahoma"/>
            <family val="2"/>
          </rPr>
          <t>NABERS Energy and Water for Hospitals  Rules 1.0 - Section 5.2.3</t>
        </r>
      </text>
    </comment>
    <comment ref="I28" authorId="0" shapeId="0" xr:uid="{C3AD873C-1CE8-4004-BE70-DB7CF506E6B0}">
      <text>
        <r>
          <rPr>
            <sz val="8"/>
            <color indexed="81"/>
            <rFont val="Tahoma"/>
            <family val="2"/>
          </rPr>
          <t>Enter the percentage of Hospital energy use that will be met through electricity</t>
        </r>
      </text>
    </comment>
    <comment ref="I29" authorId="0" shapeId="0" xr:uid="{3082B847-1A0E-4521-A6BA-67C92648EF1C}">
      <text>
        <r>
          <rPr>
            <sz val="8"/>
            <color indexed="81"/>
            <rFont val="Tahoma"/>
            <family val="2"/>
          </rPr>
          <t>Enter the percentage of Hospital energy use that will be met through gas</t>
        </r>
      </text>
    </comment>
    <comment ref="I30" authorId="0" shapeId="0" xr:uid="{412EA46A-43D7-45A0-8685-06D92E28EB61}">
      <text>
        <r>
          <rPr>
            <sz val="8"/>
            <color indexed="81"/>
            <rFont val="Tahoma"/>
            <family val="2"/>
          </rPr>
          <t>Enter the percentage of Hospital energy use that will be met through LPG</t>
        </r>
      </text>
    </comment>
    <comment ref="I31" authorId="0" shapeId="0" xr:uid="{E09ED78A-8EC3-4B36-ADC3-A4E740ABAB90}">
      <text>
        <r>
          <rPr>
            <sz val="8"/>
            <color indexed="81"/>
            <rFont val="Tahoma"/>
            <family val="2"/>
          </rPr>
          <t>Enter the percentage of Hospital energy use that will be met through diesel</t>
        </r>
      </text>
    </comment>
    <comment ref="G36" authorId="0" shapeId="0" xr:uid="{F2030F48-63EF-4412-9FB7-58BF6F6E425E}">
      <text>
        <r>
          <rPr>
            <sz val="9"/>
            <color indexed="81"/>
            <rFont val="Tahoma"/>
            <family val="2"/>
          </rPr>
          <t xml:space="preserve">Benchmarking Emissions are used for calculating the NABERS Energy star rating and are based on NGA factors from the time the rating was devloped.
</t>
        </r>
      </text>
    </comment>
    <comment ref="G38" authorId="0" shapeId="0" xr:uid="{048DB55F-FEAA-44D3-B9A2-830A38B06B72}">
      <text>
        <r>
          <rPr>
            <sz val="9"/>
            <color indexed="81"/>
            <rFont val="Tahoma"/>
            <family val="2"/>
          </rPr>
          <t xml:space="preserve">Benchmarking Emissions are used for calculating the NABERS Energy star rating and are based on NGA factors from the time the rating was devloped.
</t>
        </r>
      </text>
    </comment>
    <comment ref="G41" authorId="0" shapeId="0" xr:uid="{6E65F175-49B2-4FD8-A25C-7756DCB8AF9F}">
      <text>
        <r>
          <rPr>
            <sz val="9"/>
            <color indexed="81"/>
            <rFont val="Tahoma"/>
            <family val="2"/>
          </rPr>
          <t xml:space="preserve">Reporting Emissions are used for NGER reporting and are based on current NGA factors
</t>
        </r>
      </text>
    </comment>
    <comment ref="G43" authorId="0" shapeId="0" xr:uid="{5803E233-AF38-44DF-9BD8-9C418E71A79E}">
      <text>
        <r>
          <rPr>
            <sz val="9"/>
            <color indexed="81"/>
            <rFont val="Tahoma"/>
            <family val="2"/>
          </rPr>
          <t xml:space="preserve">Reporting Emissions are used for NGER reporting and are based on current NGA factors
</t>
        </r>
      </text>
    </comment>
    <comment ref="G46" authorId="0" shapeId="0" xr:uid="{CC41C9E0-98F1-44FF-892C-B67532B27C05}">
      <text>
        <r>
          <rPr>
            <sz val="9"/>
            <color indexed="81"/>
            <rFont val="Tahoma"/>
            <family val="2"/>
          </rPr>
          <t xml:space="preserve">Benchmarking Emissions are used for calculating the NABERS Energy star rating and are based on NGA factors from the time the rating was devloped.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Sam Moffitt</author>
  </authors>
  <commentList>
    <comment ref="E12" authorId="0" shapeId="0" xr:uid="{2D1D66A5-6AA5-47CD-8649-A7D073E43172}">
      <text>
        <r>
          <rPr>
            <sz val="9"/>
            <color indexed="81"/>
            <rFont val="Tahoma"/>
            <family val="2"/>
          </rPr>
          <t xml:space="preserve">Choose the type of Office building being rated
</t>
        </r>
      </text>
    </comment>
    <comment ref="E17" authorId="0" shapeId="0" xr:uid="{DAF8A5D4-54A2-4A16-8095-F636E6D55851}">
      <text>
        <r>
          <rPr>
            <sz val="8"/>
            <color indexed="81"/>
            <rFont val="Tahoma"/>
            <family val="2"/>
          </rPr>
          <t>Enter the NABERS Energy Star Rating you wish to achieve</t>
        </r>
      </text>
    </comment>
    <comment ref="E19" authorId="0" shapeId="0" xr:uid="{C4A0353B-F2EF-4C4E-AC37-3AAB18C938E3}">
      <text>
        <r>
          <rPr>
            <sz val="8"/>
            <color indexed="81"/>
            <rFont val="Tahoma"/>
            <family val="2"/>
          </rPr>
          <t>Enter the NABERS Water Star Rating you wish to achieve</t>
        </r>
      </text>
    </comment>
    <comment ref="I26" authorId="0" shapeId="0" xr:uid="{66AE3D8C-EF30-4A4D-B23D-F1FEC1B1D5AD}">
      <text>
        <r>
          <rPr>
            <b/>
            <sz val="8"/>
            <color indexed="81"/>
            <rFont val="Tahoma"/>
            <family val="2"/>
          </rPr>
          <t>Enter the postcode of the RACRL Facility</t>
        </r>
      </text>
    </comment>
    <comment ref="I27" authorId="0" shapeId="0" xr:uid="{7E01BB39-6712-4252-80CF-38631A3892AE}">
      <text>
        <r>
          <rPr>
            <b/>
            <sz val="8"/>
            <color indexed="81"/>
            <rFont val="Tahoma"/>
            <family val="2"/>
          </rPr>
          <t xml:space="preserve">Enter the 'Site Area' of the RACRL Facility
</t>
        </r>
        <r>
          <rPr>
            <sz val="8"/>
            <color indexed="81"/>
            <rFont val="Tahoma"/>
            <family val="2"/>
          </rPr>
          <t>NABERS Energy &amp; Water for Residential Aged Care and Retirement Living Rules 1.0 - Section 5</t>
        </r>
      </text>
    </comment>
    <comment ref="I28" authorId="0" shapeId="0" xr:uid="{64FF0264-C716-404A-A650-3F65DCE58FE4}">
      <text>
        <r>
          <rPr>
            <b/>
            <sz val="8"/>
            <color indexed="81"/>
            <rFont val="Tahoma"/>
            <family val="2"/>
          </rPr>
          <t xml:space="preserve">Enter the 'Occupied Bed Days (OBD)' of RACRL Facility
</t>
        </r>
        <r>
          <rPr>
            <sz val="8"/>
            <color indexed="81"/>
            <rFont val="Tahoma"/>
            <family val="2"/>
          </rPr>
          <t xml:space="preserve">
NABERS Energy &amp; Water for Residential Aged Care and Retirement Living Rules 1.0 - Section 6</t>
        </r>
      </text>
    </comment>
    <comment ref="I29" authorId="0" shapeId="0" xr:uid="{81EF1C7A-D84D-4193-9ED9-3DCC49309122}">
      <text>
        <r>
          <rPr>
            <b/>
            <sz val="8"/>
            <color indexed="81"/>
            <rFont val="Tahoma"/>
            <family val="2"/>
          </rPr>
          <t xml:space="preserve">Enter the 'Total Number of Dwelligns' of the RACRL Facility
</t>
        </r>
        <r>
          <rPr>
            <sz val="8"/>
            <color indexed="81"/>
            <rFont val="Tahoma"/>
            <family val="2"/>
          </rPr>
          <t>NABERS Energy &amp; Water for Residential Aged Care and Retirement Living Rules 1.0 - Section 4</t>
        </r>
      </text>
    </comment>
    <comment ref="I30" authorId="0" shapeId="0" xr:uid="{8AFCDCEE-1FBB-4D55-AA93-F736C5BFB2C8}">
      <text>
        <r>
          <rPr>
            <b/>
            <sz val="8"/>
            <color indexed="81"/>
            <rFont val="Tahoma"/>
            <family val="2"/>
          </rPr>
          <t xml:space="preserve">Enter the 'Number of Centrally Serviced Apartments' of the RACRL Facility
</t>
        </r>
        <r>
          <rPr>
            <sz val="8"/>
            <color indexed="81"/>
            <rFont val="Tahoma"/>
            <family val="2"/>
          </rPr>
          <t>NABERS Energy &amp; Water for Residential Aged Care and Retirement Living Rules 1.0 - Section 4.3.3</t>
        </r>
      </text>
    </comment>
    <comment ref="I31" authorId="0" shapeId="0" xr:uid="{41C572DF-DEA9-4CBD-BC69-F2C69498363B}">
      <text>
        <r>
          <rPr>
            <b/>
            <sz val="8"/>
            <color indexed="81"/>
            <rFont val="Tahoma"/>
            <family val="2"/>
          </rPr>
          <t>Does the RACRL Facility have a heated pool?</t>
        </r>
        <r>
          <rPr>
            <sz val="8"/>
            <color indexed="81"/>
            <rFont val="Tahoma"/>
            <family val="2"/>
          </rPr>
          <t xml:space="preserve">
NABERS Energy &amp; Water for Residential Aged Care and Retirement Living Rules 1.0 - Section 7.3</t>
        </r>
      </text>
    </comment>
    <comment ref="I32" authorId="0" shapeId="0" xr:uid="{2826AB96-21BC-4DA0-925B-E61395DFA23B}">
      <text>
        <r>
          <rPr>
            <b/>
            <sz val="8"/>
            <color indexed="81"/>
            <rFont val="Tahoma"/>
            <family val="2"/>
          </rPr>
          <t xml:space="preserve">Enter the 'Surface Area' of the heated pool
</t>
        </r>
        <r>
          <rPr>
            <sz val="8"/>
            <color indexed="81"/>
            <rFont val="Tahoma"/>
            <family val="2"/>
          </rPr>
          <t>NABERS Energy &amp; Water for Residential Aged Care and Retirement Living Rules 1.0 - Section 7.3</t>
        </r>
      </text>
    </comment>
    <comment ref="I33" authorId="0" shapeId="0" xr:uid="{5404B5D4-C59B-4F79-83B0-C73B7781FA4F}">
      <text>
        <r>
          <rPr>
            <b/>
            <sz val="8"/>
            <color indexed="81"/>
            <rFont val="Tahoma"/>
            <family val="2"/>
          </rPr>
          <t>Does the RACRL Facility have an unheated pool?</t>
        </r>
        <r>
          <rPr>
            <sz val="8"/>
            <color indexed="81"/>
            <rFont val="Tahoma"/>
            <family val="2"/>
          </rPr>
          <t xml:space="preserve">
NABERS Energy &amp; Water for Residential Aged Care and Retirement Living Rules 1.0 - Section 7.3</t>
        </r>
      </text>
    </comment>
    <comment ref="I34" authorId="0" shapeId="0" xr:uid="{65396F1D-748B-4F42-B445-8C12F54D391E}">
      <text>
        <r>
          <rPr>
            <b/>
            <sz val="8"/>
            <color indexed="81"/>
            <rFont val="Tahoma"/>
            <family val="2"/>
          </rPr>
          <t xml:space="preserve">Enter the 'Surface Area' of the unheated pool
</t>
        </r>
        <r>
          <rPr>
            <sz val="8"/>
            <color indexed="81"/>
            <rFont val="Tahoma"/>
            <family val="2"/>
          </rPr>
          <t>NABERS Energy &amp; Water for Residential Aged Care and Retirement Living Rules 1.0 - Section 7.3</t>
        </r>
      </text>
    </comment>
    <comment ref="I35" authorId="0" shapeId="0" xr:uid="{68D5BCE0-2F79-42D3-B21D-E80FDA4CF078}">
      <text>
        <r>
          <rPr>
            <b/>
            <sz val="8"/>
            <color indexed="81"/>
            <rFont val="Tahoma"/>
            <family val="2"/>
          </rPr>
          <t>Does the RACRL Facility process 'Heavy Laundry' onsite?</t>
        </r>
        <r>
          <rPr>
            <sz val="8"/>
            <color indexed="81"/>
            <rFont val="Tahoma"/>
            <family val="2"/>
          </rPr>
          <t xml:space="preserve">
NABERS Energy &amp; Water for Residential Aged Care and Retirement Living Rules 1.0 - Section 7.5</t>
        </r>
      </text>
    </comment>
    <comment ref="I36" authorId="0" shapeId="0" xr:uid="{3D7C38EC-A78B-47CF-9845-5651D6869763}">
      <text>
        <r>
          <rPr>
            <b/>
            <sz val="8"/>
            <color indexed="81"/>
            <rFont val="Tahoma"/>
            <family val="2"/>
          </rPr>
          <t xml:space="preserve">Enter the 'Total Weekly Meals Cooked Onsite' for the RACRL Facility
</t>
        </r>
        <r>
          <rPr>
            <sz val="8"/>
            <color indexed="81"/>
            <rFont val="Tahoma"/>
            <family val="2"/>
          </rPr>
          <t>NABERS Energy &amp; Water for Residential Aged Care and Retirement Living Rules 1.0 - Section 7.4.2</t>
        </r>
      </text>
    </comment>
    <comment ref="I37" authorId="0" shapeId="0" xr:uid="{09E845BC-B9DC-4CCB-86AF-9E44AD49D449}">
      <text>
        <r>
          <rPr>
            <b/>
            <sz val="8"/>
            <color indexed="81"/>
            <rFont val="Tahoma"/>
            <family val="2"/>
          </rPr>
          <t xml:space="preserve">Enter the 'Weekly Meals Cooked Onsite for non-RAC Residents' for the RACRL Facility
</t>
        </r>
        <r>
          <rPr>
            <sz val="8"/>
            <color indexed="81"/>
            <rFont val="Tahoma"/>
            <family val="2"/>
          </rPr>
          <t>NABERS Energy &amp; Water for Residential Aged Care and Retirement Living Rules 1.0 - Section 7.4.3 &amp; 7.4.4</t>
        </r>
      </text>
    </comment>
    <comment ref="I39" authorId="0" shapeId="0" xr:uid="{4F73FB83-68AA-4941-8D5E-4635CABFADB5}">
      <text>
        <r>
          <rPr>
            <sz val="8"/>
            <color indexed="81"/>
            <rFont val="Tahoma"/>
            <family val="2"/>
          </rPr>
          <t>Enter the percentage of RACRL energy use that will be met through electricity</t>
        </r>
      </text>
    </comment>
    <comment ref="I40" authorId="0" shapeId="0" xr:uid="{ADD7E724-5B61-4951-B2B2-DF8006DDC75F}">
      <text>
        <r>
          <rPr>
            <sz val="8"/>
            <color indexed="81"/>
            <rFont val="Tahoma"/>
            <family val="2"/>
          </rPr>
          <t>Enter the percentage of RACRL energy use that will be met through gas</t>
        </r>
      </text>
    </comment>
    <comment ref="I41" authorId="0" shapeId="0" xr:uid="{F153AB29-F349-46E8-A7E5-32269D40C6E7}">
      <text>
        <r>
          <rPr>
            <sz val="8"/>
            <color indexed="81"/>
            <rFont val="Tahoma"/>
            <family val="2"/>
          </rPr>
          <t>Enter the percentage of RACRL energy use that will be met through LPG</t>
        </r>
      </text>
    </comment>
    <comment ref="I42" authorId="0" shapeId="0" xr:uid="{08DA8938-8B8E-4A46-8C97-E7E33701D8E4}">
      <text>
        <r>
          <rPr>
            <sz val="8"/>
            <color indexed="81"/>
            <rFont val="Tahoma"/>
            <family val="2"/>
          </rPr>
          <t>Enter the percentage of RACRL energy use that will be met through diesel</t>
        </r>
      </text>
    </comment>
    <comment ref="G48" authorId="0" shapeId="0" xr:uid="{4768F9C5-1F85-4D53-9A06-C6BDDE33A6EA}">
      <text>
        <r>
          <rPr>
            <sz val="9"/>
            <color indexed="81"/>
            <rFont val="Tahoma"/>
            <family val="2"/>
          </rPr>
          <t xml:space="preserve">Benchmarking Emissions are used for calculating the NABERS Energy star rating and are based on NGA factors from the time the rating was devloped.
</t>
        </r>
      </text>
    </comment>
    <comment ref="G51" authorId="0" shapeId="0" xr:uid="{B94E8257-F32F-45A3-9221-D8DD6064D8B4}">
      <text>
        <r>
          <rPr>
            <sz val="9"/>
            <color indexed="81"/>
            <rFont val="Tahoma"/>
            <family val="2"/>
          </rPr>
          <t xml:space="preserve">Reporting Emissions are used for NGER reporting and are based on current NGA factors
</t>
        </r>
      </text>
    </comment>
    <comment ref="G53" authorId="0" shapeId="0" xr:uid="{D4F420DF-4E6A-4F08-A3C2-A52820247409}">
      <text>
        <r>
          <rPr>
            <sz val="9"/>
            <color indexed="81"/>
            <rFont val="Tahoma"/>
            <family val="2"/>
          </rPr>
          <t xml:space="preserve">Reporting Emissions are used for NGER reporting and are based on current NGA factors
</t>
        </r>
      </text>
    </comment>
  </commentList>
</comments>
</file>

<file path=xl/sharedStrings.xml><?xml version="1.0" encoding="utf-8"?>
<sst xmlns="http://schemas.openxmlformats.org/spreadsheetml/2006/main" count="9748" uniqueCount="2183">
  <si>
    <r>
      <t xml:space="preserve">NSW Department of Planning, Industry and Environment
</t>
    </r>
    <r>
      <rPr>
        <sz val="8"/>
        <color rgb="FF0087A1"/>
        <rFont val="Arial"/>
        <family val="2"/>
      </rPr>
      <t>4 Parramatta Square
Parramatta NSW 2150</t>
    </r>
  </si>
  <si>
    <r>
      <t xml:space="preserve">T </t>
    </r>
    <r>
      <rPr>
        <sz val="8"/>
        <color rgb="FF0087A1"/>
        <rFont val="Arial"/>
        <family val="2"/>
      </rPr>
      <t>(02) 9995 5000</t>
    </r>
    <r>
      <rPr>
        <b/>
        <sz val="8"/>
        <color rgb="FF0087A1"/>
        <rFont val="Arial"/>
        <family val="2"/>
      </rPr>
      <t xml:space="preserve">
E </t>
    </r>
    <r>
      <rPr>
        <sz val="8"/>
        <color rgb="FF0087A1"/>
        <rFont val="Arial"/>
        <family val="2"/>
      </rPr>
      <t xml:space="preserve">nabers@environment.nsw.gov.au 
</t>
    </r>
    <r>
      <rPr>
        <b/>
        <sz val="8"/>
        <color rgb="FF0087A1"/>
        <rFont val="Arial"/>
        <family val="2"/>
      </rPr>
      <t xml:space="preserve">nabers.gov.au </t>
    </r>
  </si>
  <si>
    <t>NABERS Energy &amp; Water 
Reverse Calculators</t>
  </si>
  <si>
    <t>Version:</t>
  </si>
  <si>
    <t>V26</t>
  </si>
  <si>
    <t>Date:</t>
  </si>
  <si>
    <r>
      <rPr>
        <b/>
        <sz val="10"/>
        <color rgb="FF000000"/>
        <rFont val="Arial"/>
      </rPr>
      <t xml:space="preserve">Results provided through this spreadsheet are only indicative and any rating must be certified by NABERS for the result to be official.
</t>
    </r>
    <r>
      <rPr>
        <b/>
        <sz val="10"/>
        <color rgb="FFFF0000"/>
        <rFont val="Arial"/>
      </rPr>
      <t xml:space="preserve">
We are excited to announce that we are transitioning our Reverse Calculators to an online form to provide a more efficient and user-friendly experience. As part of this transition, the Combined Reverse Calculator spreadsheet will be phased out.
Starting from November 2023, the online form will be the only supported version for all sectors except for School, Hospitals and WaCS. For these three sectors, the spreadsheet-based version will still be available until they are transitioned to the online form.
We encourage all users to switch to the new online Reverse Calculators as soon as possible to ensure you have access to the most up-to-date and accurate results.
If you have any questions or concerns about this transition, please don't hesitate to contact us at nabers@environment.nsw.gov.au</t>
    </r>
  </si>
  <si>
    <t>How to use this calculator</t>
  </si>
  <si>
    <t>A separate tab is provided for each building type</t>
  </si>
  <si>
    <t>Bordered white cells generally need to be completed.</t>
  </si>
  <si>
    <t xml:space="preserve">Grey cells should not be edited, and will be empty or selected as &lt;Select&gt; for a dropdown cell. They will become white when they need to be edited. </t>
  </si>
  <si>
    <t>Consumption inputs can be checked using the forward calculator functionality below the reverse calculator outputs</t>
  </si>
  <si>
    <t xml:space="preserve"> </t>
  </si>
  <si>
    <t>Each  reverse calculator provides targets in 0.1 star increments, but NABERS only certifies 0.5 star increments.</t>
  </si>
  <si>
    <t>Two classes of emissions are provided in the Energy results for each building type. These are:
- "Benchmark Emissions", which are used to calculate the star rating and are based on NGA factors for each state at the time the benchmarking was historically conducted;
- "Reporting Emissions", which are for NGER reporting purposes and are based on the NGA factors of the current year.</t>
  </si>
  <si>
    <t>If you have any issues using the spreadsheet, please contact the NABERS team</t>
  </si>
  <si>
    <r>
      <t xml:space="preserve">Department of Planning, Industry and Environment
</t>
    </r>
    <r>
      <rPr>
        <sz val="8"/>
        <color indexed="21"/>
        <rFont val="Arial"/>
        <family val="2"/>
      </rPr>
      <t>4 Parramatta Square 
Parramatta NSW 2150</t>
    </r>
  </si>
  <si>
    <r>
      <t xml:space="preserve">T </t>
    </r>
    <r>
      <rPr>
        <sz val="8"/>
        <color indexed="21"/>
        <rFont val="Arial"/>
        <family val="2"/>
      </rPr>
      <t>(02) 9995 5000</t>
    </r>
    <r>
      <rPr>
        <b/>
        <sz val="8"/>
        <color indexed="21"/>
        <rFont val="Arial"/>
        <family val="2"/>
      </rPr>
      <t xml:space="preserve">
E</t>
    </r>
    <r>
      <rPr>
        <sz val="8"/>
        <color indexed="21"/>
        <rFont val="Arial"/>
        <family val="2"/>
      </rPr>
      <t xml:space="preserve"> nabers@environment.nsw.gov.au </t>
    </r>
    <r>
      <rPr>
        <b/>
        <sz val="8"/>
        <color indexed="21"/>
        <rFont val="Arial"/>
        <family val="2"/>
      </rPr>
      <t xml:space="preserve">nabers.gov.au </t>
    </r>
  </si>
  <si>
    <t>NABERS Energy and Water for Offices
Reverse Calculator</t>
  </si>
  <si>
    <t>The NABERS Energy and Water for Offices reverse calculator helps you calculate the maximum amounts of energy and water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 from 1 to 6 stars.</t>
  </si>
  <si>
    <t>1. ENTER THE TYPE OF OFFICE BUILDING YOU ARE RATING</t>
  </si>
  <si>
    <t>&lt;Select&gt;</t>
  </si>
  <si>
    <t>2. ENTER THE STAR RATING YOU WISH TO ACHIEVE</t>
  </si>
  <si>
    <t>STARS</t>
  </si>
  <si>
    <t>3. ENTER THE BUILDING INFORMATION</t>
  </si>
  <si>
    <t>Building Postcode</t>
  </si>
  <si>
    <t>Net Lettable Area of the building (m²)</t>
  </si>
  <si>
    <t>Percentage Breakdown of Energy Consumption:</t>
  </si>
  <si>
    <t>Electricity (MJ)</t>
  </si>
  <si>
    <t>Gas (MJ)</t>
  </si>
  <si>
    <t>Diesel (MJ)</t>
  </si>
  <si>
    <t>RESULTS</t>
  </si>
  <si>
    <t>Benchmarking factor at selected rating</t>
  </si>
  <si>
    <r>
      <t>kgCO</t>
    </r>
    <r>
      <rPr>
        <vertAlign val="subscript"/>
        <sz val="10"/>
        <color indexed="53"/>
        <rFont val="Arial"/>
        <family val="2"/>
      </rPr>
      <t>2</t>
    </r>
    <r>
      <rPr>
        <sz val="10"/>
        <color indexed="53"/>
        <rFont val="Arial"/>
        <family val="2"/>
      </rPr>
      <t>-e/year</t>
    </r>
  </si>
  <si>
    <t>Predicted NGE</t>
  </si>
  <si>
    <t>Max Emissions at Target</t>
  </si>
  <si>
    <t>Reporting Emissions for this Office - Scope 1, 2 and 3</t>
  </si>
  <si>
    <t>Actual Scope 1,2&amp;3 at Target</t>
  </si>
  <si>
    <t>Reporting Emissions for this Office - Scope 1 and 2</t>
  </si>
  <si>
    <t>Actual Scope 1&amp;2 at Targe</t>
  </si>
  <si>
    <t>kgCO2-e/m².year</t>
  </si>
  <si>
    <t>Max Emissions Intensity at Target</t>
  </si>
  <si>
    <t>MJ/m².year</t>
  </si>
  <si>
    <t>Max Energy Intensity at Target</t>
  </si>
  <si>
    <t>Maximum Allowable Fuel Consumption</t>
  </si>
  <si>
    <t>Target Max Electricity</t>
  </si>
  <si>
    <t>kWh per annum</t>
  </si>
  <si>
    <t>Max Elec (kWh) at Target</t>
  </si>
  <si>
    <t>Target Max Gas</t>
  </si>
  <si>
    <t>MJ  per annum</t>
  </si>
  <si>
    <t>Max Gas (MJ) at Target</t>
  </si>
  <si>
    <t>Target Max Diesel</t>
  </si>
  <si>
    <t>L per annum</t>
  </si>
  <si>
    <t>Max Diesel (L) at Target</t>
  </si>
  <si>
    <t>kL/year</t>
  </si>
  <si>
    <t>Max Water (kL) at Target</t>
  </si>
  <si>
    <t>kL/m².year</t>
  </si>
  <si>
    <t>Max Water Intensity at Target</t>
  </si>
  <si>
    <t>FORWARD CALCULATOR FOR BUILDING ABOVE</t>
  </si>
  <si>
    <t>Energy Consumption:</t>
  </si>
  <si>
    <t>Electricity (kWh)</t>
  </si>
  <si>
    <t>Gas (MJ)</t>
    <phoneticPr fontId="15" type="noConversion"/>
  </si>
  <si>
    <t>Diesel (L)</t>
  </si>
  <si>
    <t>Electricity Green Power (%)</t>
  </si>
  <si>
    <t>Energy Result</t>
  </si>
  <si>
    <t>Benchmarking Factor (with GP)</t>
  </si>
  <si>
    <t>NGE published (with GP)</t>
  </si>
  <si>
    <t>Decimal Rating (with GP)</t>
  </si>
  <si>
    <t>Energy Star Decimal (with GP)</t>
  </si>
  <si>
    <t>Star Rating (with GP)</t>
  </si>
  <si>
    <t>Energy Star (with GP)</t>
  </si>
  <si>
    <t>Benchmarking Factor (no GP)</t>
  </si>
  <si>
    <t>NGE published (no GP)</t>
  </si>
  <si>
    <t>Decimal Rating (no GP)</t>
  </si>
  <si>
    <t>Energy Star Decimal (no GP)</t>
  </si>
  <si>
    <t>Star Rating (no GP)</t>
  </si>
  <si>
    <t>Energy Star (no GP)</t>
  </si>
  <si>
    <t>Water Consumption:</t>
  </si>
  <si>
    <t>Water (kL)</t>
  </si>
  <si>
    <t>Recycled Water (%)</t>
  </si>
  <si>
    <t>Water Result</t>
  </si>
  <si>
    <t>Consumption per m² (with recyc)</t>
  </si>
  <si>
    <t>kL/m²</t>
  </si>
  <si>
    <t>w (with recyc)</t>
  </si>
  <si>
    <t>Decimal Rating (with recyc)</t>
  </si>
  <si>
    <t>Water Star Decimal (with recyc)</t>
  </si>
  <si>
    <t>Star Rating (with recyc)</t>
  </si>
  <si>
    <t>Water Star (with recyc)</t>
  </si>
  <si>
    <t>Consumption per m² (no recyc)</t>
  </si>
  <si>
    <t>w (no recyc)</t>
  </si>
  <si>
    <t>Decimal Rating (no recyc)</t>
  </si>
  <si>
    <t>Water Star Decimal (no recyc)</t>
  </si>
  <si>
    <t>Star Rating (no recyc)</t>
  </si>
  <si>
    <t>Water Star (no recyc)</t>
  </si>
  <si>
    <t>Rating Targets</t>
  </si>
  <si>
    <t>Office Info</t>
  </si>
  <si>
    <t>Energy Breakdown</t>
  </si>
  <si>
    <t>Energy &amp; Emissions Outputs</t>
  </si>
  <si>
    <t>FWD Energy Consumption</t>
  </si>
  <si>
    <t>FWD Water Consumption</t>
  </si>
  <si>
    <t>Universal Building Calcs</t>
  </si>
  <si>
    <t>Emissions from offices lookup</t>
  </si>
  <si>
    <t>Current Calculator Emissions Factors</t>
  </si>
  <si>
    <t>Energy Conversion Factors</t>
  </si>
  <si>
    <t>Scope 1,2 &amp; 3 Emissions Factors</t>
  </si>
  <si>
    <t>Energy Intermediate Calcs</t>
  </si>
  <si>
    <t>Water Intermediate Calcs</t>
  </si>
  <si>
    <t>Reverse Energy Targets</t>
  </si>
  <si>
    <t>Reverse Water Results</t>
  </si>
  <si>
    <t>Bulk Reverse Calculator Energy Results</t>
  </si>
  <si>
    <t>Bulk Reverse Calculator Water Results</t>
  </si>
  <si>
    <t>Forward Energy Results</t>
  </si>
  <si>
    <t>Forward Water Results</t>
  </si>
  <si>
    <t>Rating Type</t>
  </si>
  <si>
    <t>Hours of occupation per week (hrs/week)</t>
  </si>
  <si>
    <t>Number of computers that are normally switched on when the building is occupied</t>
  </si>
  <si>
    <t>Electricity (%)</t>
  </si>
  <si>
    <t>Gas (%)</t>
  </si>
  <si>
    <t>Diesel (%)</t>
  </si>
  <si>
    <t>GreenPower</t>
  </si>
  <si>
    <t>Water (kl)</t>
  </si>
  <si>
    <t>Recycled Water</t>
  </si>
  <si>
    <t>State</t>
    <phoneticPr fontId="21" type="noConversion"/>
  </si>
  <si>
    <t>Climate zone (by postcode)</t>
  </si>
  <si>
    <t>HDD</t>
  </si>
  <si>
    <t>CDD</t>
  </si>
  <si>
    <t>SGEelec 2020 (kgCO2/kWh)</t>
  </si>
  <si>
    <t>SGEgas 2020 (kgCO2/MJ)</t>
  </si>
  <si>
    <t>SGEdiesel 2020 (kgCO2/Litre)</t>
  </si>
  <si>
    <t>Elec MJ/kWh</t>
  </si>
  <si>
    <t>Diesel MJ/L</t>
  </si>
  <si>
    <t>SGEelec kgCO2/MJ</t>
  </si>
  <si>
    <t>SGEdiesel kgCO2/MJ</t>
  </si>
  <si>
    <t>Effective GHG Coefficient (kgCO2/MJ)</t>
  </si>
  <si>
    <t>SGEelec123</t>
  </si>
  <si>
    <t>SGEGas123</t>
  </si>
  <si>
    <t>SGEDiesel123</t>
  </si>
  <si>
    <t>SGEelec12</t>
  </si>
  <si>
    <t>SGEGas12</t>
  </si>
  <si>
    <t>SGEDiesel12</t>
  </si>
  <si>
    <t>h</t>
  </si>
  <si>
    <t>f_basebuilding</t>
  </si>
  <si>
    <t>f_tenancy</t>
  </si>
  <si>
    <t>Dequip</t>
  </si>
  <si>
    <t>GE correction tenancy</t>
  </si>
  <si>
    <t>Geclimcorr Term1 using sgegas in MJ</t>
  </si>
  <si>
    <t>Geclimcorr Term2</t>
  </si>
  <si>
    <t>Geclimcorr Term3</t>
  </si>
  <si>
    <t>Geclimcorr Term4</t>
  </si>
  <si>
    <t>Geclimcorr Term5</t>
  </si>
  <si>
    <t>A</t>
  </si>
  <si>
    <t>B</t>
  </si>
  <si>
    <t>AEnergybeyond5stars</t>
  </si>
  <si>
    <t>alphastar</t>
  </si>
  <si>
    <t>M star</t>
  </si>
  <si>
    <t>Climate Variable</t>
  </si>
  <si>
    <t>Target Max Normalised Emissions (5 stars or less) (kg/m²)</t>
  </si>
  <si>
    <t>Target Max Gross Emissions (kg/m²)</t>
  </si>
  <si>
    <t>Target Max CO2 Emissions (kg)</t>
  </si>
  <si>
    <t>Target Max Total Energy</t>
  </si>
  <si>
    <t>Target Max Elec Consumption</t>
  </si>
  <si>
    <t>Target Max Gas Consumption</t>
  </si>
  <si>
    <t>Target Max Diesel Consumption</t>
  </si>
  <si>
    <t>Target Actual Scope 1,2 &amp; 3 Emissions</t>
  </si>
  <si>
    <t>Target Actual Scope 1 &amp;2 Emissions</t>
  </si>
  <si>
    <t>Max Water Use (kL)</t>
  </si>
  <si>
    <t>Max Water Use (kL/m²)</t>
  </si>
  <si>
    <t>6.0* Max Normalised Emissions</t>
  </si>
  <si>
    <t>5.5* Max Normalised Emissions</t>
  </si>
  <si>
    <t>5.0* Max Normalised Emissions</t>
  </si>
  <si>
    <t>4.5* Max Normalised Emissions</t>
  </si>
  <si>
    <t>4.0* Max Normalised Emissions</t>
  </si>
  <si>
    <t>3.5* Max Normalised Emissions</t>
  </si>
  <si>
    <t>3.0* Max Normalised Emissions</t>
  </si>
  <si>
    <t>2.5* Max Normalised Emissions</t>
  </si>
  <si>
    <t>2.0* Max Normalised Emissions</t>
  </si>
  <si>
    <t>1.5* Max Normalised Emissions</t>
  </si>
  <si>
    <t>1.0* Max Normalised Emissions</t>
  </si>
  <si>
    <t>0.0* Max Normalised Emissions</t>
  </si>
  <si>
    <t>6.0* Max Emissions (kg/m²)</t>
  </si>
  <si>
    <t>5.5* Max Emissions (kg/m²)</t>
  </si>
  <si>
    <t>5.0* Max Emissions (kg/m²)</t>
  </si>
  <si>
    <t>4.5* Max Emissions (kg/m²)</t>
  </si>
  <si>
    <t>4.0* Max Emissions (kg/m²)</t>
  </si>
  <si>
    <t>3.5* Max Emissions (kg/m²)</t>
  </si>
  <si>
    <t>3.0* Max Emissions (kg/m²)</t>
  </si>
  <si>
    <t>2.5* Max Emissions (kg/m²)</t>
  </si>
  <si>
    <t>2.0* Max Emissions (kg/m²)</t>
  </si>
  <si>
    <t>1.5* Max Emissions (kg/m²)</t>
  </si>
  <si>
    <t>1.0* Max Emissions (kg/m²)</t>
  </si>
  <si>
    <t>0.0* Max Emissions (kg/m²)</t>
  </si>
  <si>
    <t>6.0* Max Emissions (kgCo2)</t>
  </si>
  <si>
    <t>5.5* Max Emissions (kgCo2)</t>
  </si>
  <si>
    <t>5.0* Max Emissions (kgCo2)</t>
  </si>
  <si>
    <t>4.5* Max Emissions (kgCo2)</t>
  </si>
  <si>
    <t>4.0* Max Emissions (kgCo2)</t>
  </si>
  <si>
    <t>3.5* Max Emissions (kgCo2)</t>
  </si>
  <si>
    <t>3.0* Max Emissions (kgCo2)</t>
  </si>
  <si>
    <t>2.5* Max Emissions (kgCo2)</t>
  </si>
  <si>
    <t>2.0* Max Emissions (kgCo2)</t>
  </si>
  <si>
    <t>1.5* Max Emissions (kgCo2)</t>
  </si>
  <si>
    <t>1.0* Max Emissions (kgCo2)</t>
  </si>
  <si>
    <t>0.0* Max Emissions (kgCo2)</t>
  </si>
  <si>
    <t>6.0* Max Energy (MJ)</t>
  </si>
  <si>
    <t>5.5* Max Energy (MJ)</t>
  </si>
  <si>
    <t>5.0* Max Energy (MJ)</t>
  </si>
  <si>
    <t>4.5* Max Energy (MJ)</t>
  </si>
  <si>
    <t>4.0* Max Energy (MJ)</t>
  </si>
  <si>
    <t>3.5* Max Energy (MJ)</t>
  </si>
  <si>
    <t>3.0* Max Energy (MJ)</t>
  </si>
  <si>
    <t>2.5* Max Energy (MJ)</t>
  </si>
  <si>
    <t>2.0* Max Energy (MJ)</t>
  </si>
  <si>
    <t>1.5* Max Energy (MJ)</t>
  </si>
  <si>
    <t>1.0* Max Energy (MJ)</t>
  </si>
  <si>
    <t>0.0* Max Energy (MJ)</t>
  </si>
  <si>
    <t>6.0* Max Electricity (kWh)</t>
  </si>
  <si>
    <t>5.5* Max Electricity (kWh)</t>
  </si>
  <si>
    <t>5.0* Max Electricity (kWh)</t>
  </si>
  <si>
    <t>4.5* Max Electricity (kWh)</t>
  </si>
  <si>
    <t>4.0* Max Electricity (kWh)</t>
  </si>
  <si>
    <t>3.5* Max Electricity (kWh)</t>
  </si>
  <si>
    <t>3.0* Max Electricity (kWh)</t>
  </si>
  <si>
    <t>2.5* Max Electricity (kWh)</t>
  </si>
  <si>
    <t>2.0* Max Electricity (kWh)</t>
  </si>
  <si>
    <t>1.5* Max Electricity (kWh)</t>
  </si>
  <si>
    <t>1.0* Max Electricity (kWh)</t>
  </si>
  <si>
    <t>0.0* Max Electricity (kWh)</t>
  </si>
  <si>
    <t>6.0* Max Gas (MJ)</t>
  </si>
  <si>
    <t>5.5* Max Gas (MJ)</t>
  </si>
  <si>
    <t>5.0* Max Gas (MJ)</t>
  </si>
  <si>
    <t>4.5* Max Gas (MJ)</t>
  </si>
  <si>
    <t>4.0* Max Gas (MJ)</t>
  </si>
  <si>
    <t>3.5* Max Gas (MJ)</t>
  </si>
  <si>
    <t>3.0* Max Gas (MJ)</t>
  </si>
  <si>
    <t>2.5* Max Gas (MJ)</t>
  </si>
  <si>
    <t>2.0* Max Gas (MJ)</t>
  </si>
  <si>
    <t>1.5* Max Gas (MJ)</t>
  </si>
  <si>
    <t>1.0* Max Gas (MJ)</t>
  </si>
  <si>
    <t>0.0* Max Gas (MJ)</t>
  </si>
  <si>
    <t>6.0* Max Diesel (L)</t>
  </si>
  <si>
    <t>5.5* Max Diesel (L)</t>
  </si>
  <si>
    <t>5.0* Max Diesel (L)</t>
  </si>
  <si>
    <t>4.5* Max Diesel (L)</t>
  </si>
  <si>
    <t>4.0* Max Diesel (L)</t>
  </si>
  <si>
    <t>3.5* Max Diesel (L)</t>
  </si>
  <si>
    <t>3.0* Max Diesel (L)</t>
  </si>
  <si>
    <t>2.5* Max Diesel (L)</t>
  </si>
  <si>
    <t>2.0* Max Diesel (L)</t>
  </si>
  <si>
    <t>1.5* Max Diesel (L)</t>
  </si>
  <si>
    <t>1.0* Max Diesel (L)</t>
  </si>
  <si>
    <t>0.0* Max Diesel (L)</t>
  </si>
  <si>
    <t>6.0* w1</t>
  </si>
  <si>
    <t>5.5* w1</t>
  </si>
  <si>
    <t>5.0* w1</t>
  </si>
  <si>
    <t>4.5* w1</t>
  </si>
  <si>
    <t>4.0* w1</t>
  </si>
  <si>
    <t>3.5* w1</t>
  </si>
  <si>
    <t>3.0* w1</t>
  </si>
  <si>
    <t>2.5* w1</t>
  </si>
  <si>
    <t>2.0* w1</t>
  </si>
  <si>
    <t>1.5* w1</t>
  </si>
  <si>
    <t>1.0* w1</t>
  </si>
  <si>
    <t>0.0* w1</t>
  </si>
  <si>
    <t>6.0* w2</t>
  </si>
  <si>
    <t>5.5* w2</t>
  </si>
  <si>
    <t>5.0* w2</t>
  </si>
  <si>
    <t>4.5* w2</t>
  </si>
  <si>
    <t>4.0* w2</t>
  </si>
  <si>
    <t>3.5* w2</t>
  </si>
  <si>
    <t>3.0* w2</t>
  </si>
  <si>
    <t>2.5* w2</t>
  </si>
  <si>
    <t>2.0* w2</t>
  </si>
  <si>
    <t>1.5* w2</t>
  </si>
  <si>
    <t>1.0* w2</t>
  </si>
  <si>
    <t>0.0* w2</t>
  </si>
  <si>
    <t>6.0* Max Water (kL/m²)</t>
  </si>
  <si>
    <t>5.5* Max Water (kL/m²)</t>
  </si>
  <si>
    <t>5.0* Max Water (kL/m²)</t>
  </si>
  <si>
    <t>4.5* Max Water (kL/m²)</t>
  </si>
  <si>
    <t>4.0* Max Water (kL/m²)</t>
  </si>
  <si>
    <t>3.5* Max Water (kL/m²)</t>
  </si>
  <si>
    <t>3.0* Max Water (kL/m²)</t>
  </si>
  <si>
    <t>2.5* Max Water (kL/m²)</t>
  </si>
  <si>
    <t>2.0* Max Water (kL/m²)</t>
  </si>
  <si>
    <t>1.5* Max Water (kL/m²)</t>
  </si>
  <si>
    <t>1.0* Max Water (kL/m²)</t>
  </si>
  <si>
    <t>0.0* Max Water (kL/m²)</t>
  </si>
  <si>
    <t>6.0* Max Water (kL)</t>
  </si>
  <si>
    <t>5.5* Max Water (kL)</t>
  </si>
  <si>
    <t>5.0* Max Water (kL)</t>
  </si>
  <si>
    <t>4.5* Max Water (kL)</t>
  </si>
  <si>
    <t>4.0* Max Water (kL)</t>
  </si>
  <si>
    <t>3.5* Max Water (kL)</t>
  </si>
  <si>
    <t>3.0* Max Water (kL)</t>
  </si>
  <si>
    <t>2.5* Max Water (kL)</t>
  </si>
  <si>
    <t>2.0* Max Water (kL)</t>
  </si>
  <si>
    <t>1.5* Max Water (kL)</t>
  </si>
  <si>
    <t>1.0* Max Water (kL)</t>
  </si>
  <si>
    <t>0.0* Max Water (kL)</t>
  </si>
  <si>
    <t>Forward Scope 1, 2 &amp; 3 Emissions</t>
  </si>
  <si>
    <t>Forward Scope 1 &amp; 2 Emissions</t>
  </si>
  <si>
    <t>FWD Energy Star (with GP)</t>
  </si>
  <si>
    <t>FWD Energy Star Decimal (with GP)</t>
  </si>
  <si>
    <t>FWD Energy Star (no GP)</t>
  </si>
  <si>
    <t>FWD Energy Star Decimal (no GP)</t>
  </si>
  <si>
    <t>Decimal Energy Star (with GP)</t>
  </si>
  <si>
    <t>Decimal Energy Star (no GP)</t>
  </si>
  <si>
    <t>FWD Gross Emissions (with GP)</t>
  </si>
  <si>
    <t>FWD Gross Emissions  (no GP)</t>
  </si>
  <si>
    <t>FWD Benchmarking Factor (formerly Normalised Greenhouse Emissions) (with GP)</t>
  </si>
  <si>
    <t>FWD Benchmarking Factor (formerly Normalised Greenhouse Emissions) (no GP)</t>
  </si>
  <si>
    <t>Water Consumption (with recyc) (kL/m²)</t>
  </si>
  <si>
    <t>Water Consumption (no recyc) (kL/m²)</t>
  </si>
  <si>
    <t>Best Practice Water Consumption</t>
  </si>
  <si>
    <t>Target Energy</t>
  </si>
  <si>
    <t>Target Water</t>
  </si>
  <si>
    <t>Postcode</t>
  </si>
  <si>
    <t>Hrs</t>
  </si>
  <si>
    <t>NLA</t>
  </si>
  <si>
    <t>Comp</t>
  </si>
  <si>
    <t>Predicted GE</t>
  </si>
  <si>
    <t>Electricity</t>
  </si>
  <si>
    <t>Gas</t>
  </si>
  <si>
    <t>Diesel</t>
  </si>
  <si>
    <t>GP</t>
  </si>
  <si>
    <t>Water</t>
  </si>
  <si>
    <t>RW</t>
  </si>
  <si>
    <t>State</t>
  </si>
  <si>
    <t>Climate zone</t>
  </si>
  <si>
    <t>SGEekWh</t>
  </si>
  <si>
    <t>SGEgkWh</t>
  </si>
  <si>
    <t>SGEdkWh</t>
  </si>
  <si>
    <r>
      <t>SGE</t>
    </r>
    <r>
      <rPr>
        <vertAlign val="subscript"/>
        <sz val="10"/>
        <color theme="1"/>
        <rFont val="Calibri"/>
        <family val="2"/>
        <scheme val="minor"/>
      </rPr>
      <t>e</t>
    </r>
  </si>
  <si>
    <r>
      <t>SGE</t>
    </r>
    <r>
      <rPr>
        <vertAlign val="subscript"/>
        <sz val="10"/>
        <color theme="1"/>
        <rFont val="Calibri"/>
        <family val="2"/>
        <scheme val="minor"/>
      </rPr>
      <t>g</t>
    </r>
  </si>
  <si>
    <r>
      <t>SGE</t>
    </r>
    <r>
      <rPr>
        <vertAlign val="subscript"/>
        <sz val="10"/>
        <color theme="1"/>
        <rFont val="Calibri"/>
        <family val="2"/>
        <scheme val="minor"/>
      </rPr>
      <t>d</t>
    </r>
  </si>
  <si>
    <r>
      <t>CF</t>
    </r>
    <r>
      <rPr>
        <vertAlign val="subscript"/>
        <sz val="10"/>
        <color theme="1"/>
        <rFont val="Calibri"/>
        <family val="2"/>
        <scheme val="minor"/>
      </rPr>
      <t>elec</t>
    </r>
  </si>
  <si>
    <r>
      <t>CF</t>
    </r>
    <r>
      <rPr>
        <vertAlign val="subscript"/>
        <sz val="10"/>
        <color theme="1"/>
        <rFont val="Calibri"/>
        <family val="2"/>
        <scheme val="minor"/>
      </rPr>
      <t>diesel</t>
    </r>
  </si>
  <si>
    <t>SGEeMJ</t>
  </si>
  <si>
    <t>SGEdMJ</t>
  </si>
  <si>
    <r>
      <t>EffGHG</t>
    </r>
    <r>
      <rPr>
        <vertAlign val="subscript"/>
        <sz val="10"/>
        <color theme="1"/>
        <rFont val="Calibri"/>
        <family val="2"/>
        <scheme val="minor"/>
      </rPr>
      <t>MJ</t>
    </r>
  </si>
  <si>
    <r>
      <t>SGE</t>
    </r>
    <r>
      <rPr>
        <vertAlign val="subscript"/>
        <sz val="10"/>
        <color theme="1"/>
        <rFont val="Calibri"/>
        <family val="2"/>
        <scheme val="minor"/>
      </rPr>
      <t>e Scopes 1,2&amp;3</t>
    </r>
  </si>
  <si>
    <r>
      <t>SGE</t>
    </r>
    <r>
      <rPr>
        <vertAlign val="subscript"/>
        <sz val="10"/>
        <color theme="1"/>
        <rFont val="Calibri"/>
        <family val="2"/>
        <scheme val="minor"/>
      </rPr>
      <t>g Scopes 1,2&amp;3</t>
    </r>
  </si>
  <si>
    <r>
      <t>SGE</t>
    </r>
    <r>
      <rPr>
        <vertAlign val="subscript"/>
        <sz val="10"/>
        <color theme="1"/>
        <rFont val="Calibri"/>
        <family val="2"/>
        <scheme val="minor"/>
      </rPr>
      <t>d Scopes 1,2&amp;3</t>
    </r>
  </si>
  <si>
    <r>
      <t>SGE</t>
    </r>
    <r>
      <rPr>
        <vertAlign val="subscript"/>
        <sz val="10"/>
        <color theme="1"/>
        <rFont val="Calibri"/>
        <family val="2"/>
        <scheme val="minor"/>
      </rPr>
      <t>e Scopes 1&amp;2</t>
    </r>
  </si>
  <si>
    <r>
      <t>SGE</t>
    </r>
    <r>
      <rPr>
        <vertAlign val="subscript"/>
        <sz val="10"/>
        <color theme="1"/>
        <rFont val="Calibri"/>
        <family val="2"/>
        <scheme val="minor"/>
      </rPr>
      <t>g Scopes 1&amp;2</t>
    </r>
  </si>
  <si>
    <r>
      <t>SGE</t>
    </r>
    <r>
      <rPr>
        <vertAlign val="subscript"/>
        <sz val="10"/>
        <color theme="1"/>
        <rFont val="Calibri"/>
        <family val="2"/>
        <scheme val="minor"/>
      </rPr>
      <t>d Scopes 1&amp;2</t>
    </r>
  </si>
  <si>
    <r>
      <t>D</t>
    </r>
    <r>
      <rPr>
        <vertAlign val="subscript"/>
        <sz val="10"/>
        <color theme="1"/>
        <rFont val="Calibri"/>
        <family val="2"/>
        <scheme val="minor"/>
      </rPr>
      <t>equip</t>
    </r>
  </si>
  <si>
    <r>
      <t>NGE</t>
    </r>
    <r>
      <rPr>
        <vertAlign val="subscript"/>
        <sz val="10"/>
        <color theme="1"/>
        <rFont val="Calibri"/>
        <family val="2"/>
        <scheme val="minor"/>
      </rPr>
      <t>at_5_stars</t>
    </r>
  </si>
  <si>
    <r>
      <t>GE</t>
    </r>
    <r>
      <rPr>
        <vertAlign val="subscript"/>
        <sz val="10"/>
        <color theme="1"/>
        <rFont val="Calibri"/>
        <family val="2"/>
        <scheme val="minor"/>
      </rPr>
      <t>at_5_stars</t>
    </r>
  </si>
  <si>
    <r>
      <t>GE</t>
    </r>
    <r>
      <rPr>
        <vertAlign val="subscript"/>
        <sz val="10"/>
        <color theme="1"/>
        <rFont val="Calibri"/>
        <family val="2"/>
        <scheme val="minor"/>
      </rPr>
      <t>corrtenancy</t>
    </r>
  </si>
  <si>
    <r>
      <t>GE</t>
    </r>
    <r>
      <rPr>
        <vertAlign val="subscript"/>
        <sz val="10"/>
        <color theme="1"/>
        <rFont val="Calibri"/>
        <family val="2"/>
        <scheme val="minor"/>
      </rPr>
      <t>corrclimate</t>
    </r>
  </si>
  <si>
    <t>4.12*SGEgas</t>
  </si>
  <si>
    <t>43.6*SGEelec</t>
  </si>
  <si>
    <t>-0.0016*SGEgas*HDD/0.23</t>
  </si>
  <si>
    <t>-0.091*SGEelec*CDD/0.94</t>
  </si>
  <si>
    <t>max(0,0.062*SGEelec*(CDD-400)/0.94)</t>
  </si>
  <si>
    <r>
      <t>A</t>
    </r>
    <r>
      <rPr>
        <vertAlign val="subscript"/>
        <sz val="10"/>
        <color theme="1"/>
        <rFont val="Calibri"/>
        <family val="2"/>
        <scheme val="minor"/>
      </rPr>
      <t>Energybeyond5stars</t>
    </r>
  </si>
  <si>
    <r>
      <t>B</t>
    </r>
    <r>
      <rPr>
        <vertAlign val="subscript"/>
        <sz val="10"/>
        <color theme="1"/>
        <rFont val="Calibri"/>
        <family val="2"/>
        <scheme val="minor"/>
      </rPr>
      <t>Energybeyond5stars gasMJ</t>
    </r>
  </si>
  <si>
    <r>
      <t>w</t>
    </r>
    <r>
      <rPr>
        <vertAlign val="subscript"/>
        <sz val="10"/>
        <color theme="1"/>
        <rFont val="Calibri"/>
        <family val="2"/>
        <scheme val="minor"/>
      </rPr>
      <t>1</t>
    </r>
  </si>
  <si>
    <r>
      <t>w</t>
    </r>
    <r>
      <rPr>
        <vertAlign val="subscript"/>
        <sz val="10"/>
        <color theme="1"/>
        <rFont val="Calibri"/>
        <family val="2"/>
        <scheme val="minor"/>
      </rPr>
      <t>2</t>
    </r>
  </si>
  <si>
    <t>Alpha star</t>
  </si>
  <si>
    <t>M</t>
  </si>
  <si>
    <t>0.64+0.0009*CDD</t>
  </si>
  <si>
    <t>1.63+0.00023*CDD</t>
  </si>
  <si>
    <r>
      <t>w</t>
    </r>
    <r>
      <rPr>
        <vertAlign val="subscript"/>
        <sz val="10"/>
        <color theme="1"/>
        <rFont val="Calibri"/>
        <family val="2"/>
        <scheme val="minor"/>
      </rPr>
      <t>at_5stars</t>
    </r>
  </si>
  <si>
    <r>
      <t>A</t>
    </r>
    <r>
      <rPr>
        <vertAlign val="subscript"/>
        <sz val="10"/>
        <color theme="1"/>
        <rFont val="Calibri"/>
        <family val="2"/>
        <scheme val="minor"/>
      </rPr>
      <t>Waterbeyond5stars</t>
    </r>
  </si>
  <si>
    <r>
      <t>B</t>
    </r>
    <r>
      <rPr>
        <vertAlign val="subscript"/>
        <sz val="10"/>
        <color theme="1"/>
        <rFont val="Calibri"/>
        <family val="2"/>
        <scheme val="minor"/>
      </rPr>
      <t>Waterbeyond5stars</t>
    </r>
  </si>
  <si>
    <t>M star - w</t>
  </si>
  <si>
    <t>M star - alpha star</t>
  </si>
  <si>
    <t>(0.64+0.0016(h-55)-w)/0.29</t>
  </si>
  <si>
    <t>Target Max Energy NGE</t>
  </si>
  <si>
    <t>Target Max GE</t>
  </si>
  <si>
    <t>Target Max CO2</t>
  </si>
  <si>
    <t>Target Max Energy (MJ)</t>
  </si>
  <si>
    <t>Target Max Energy Intensity</t>
  </si>
  <si>
    <t>Target Max Elec (kWh)</t>
  </si>
  <si>
    <t>Target Max Gas (MJ)</t>
  </si>
  <si>
    <t>Target Max Diesel (L)</t>
  </si>
  <si>
    <t>Target Scopes 1,2&amp;3</t>
  </si>
  <si>
    <t>Target Scopes 1&amp;2</t>
  </si>
  <si>
    <t>Max Water</t>
  </si>
  <si>
    <t>max w</t>
  </si>
  <si>
    <t>6.0* Max NGE</t>
  </si>
  <si>
    <t>5.5* Max NGE</t>
  </si>
  <si>
    <t>5.0* Max NGE</t>
  </si>
  <si>
    <t>4.5* Max NGE</t>
  </si>
  <si>
    <t>4.0* Max NGE</t>
  </si>
  <si>
    <t>3.5* Max NGE</t>
  </si>
  <si>
    <t>3.0* Max NGE</t>
  </si>
  <si>
    <t>2.5* Max NGE</t>
  </si>
  <si>
    <t>2.0* Max NGE</t>
  </si>
  <si>
    <t>1.5* Max NGE</t>
  </si>
  <si>
    <t>1.0* Max NGE</t>
  </si>
  <si>
    <t>0.0* Max NGE</t>
  </si>
  <si>
    <t>6.0* Max GE</t>
  </si>
  <si>
    <t>5.5* Max GE</t>
  </si>
  <si>
    <t>5.0* Max GE</t>
  </si>
  <si>
    <t>4.5* Max GE</t>
  </si>
  <si>
    <t>4.0* Max GE</t>
  </si>
  <si>
    <t>3.5* Max GE</t>
  </si>
  <si>
    <t>3.0* Max GE</t>
  </si>
  <si>
    <t>2.5* Max GE</t>
  </si>
  <si>
    <t>2.0* Max GE</t>
  </si>
  <si>
    <t>1.5* Max GE</t>
  </si>
  <si>
    <t>1.0* Max GE</t>
  </si>
  <si>
    <t>0.0* Max GE</t>
  </si>
  <si>
    <t>6.0* Max CO2</t>
  </si>
  <si>
    <t>5.5* Max CO2</t>
  </si>
  <si>
    <t>5.0* Max CO2</t>
  </si>
  <si>
    <t>4.5* Max CO2</t>
  </si>
  <si>
    <t>4.0* Max CO2</t>
  </si>
  <si>
    <t>3.5* Max CO2</t>
  </si>
  <si>
    <t>3.0* Max CO2</t>
  </si>
  <si>
    <t>2.5* Max CO2</t>
  </si>
  <si>
    <t>2.0* Max CO2</t>
  </si>
  <si>
    <t>1.5* Max CO2</t>
  </si>
  <si>
    <t>1.0* Max CO2</t>
  </si>
  <si>
    <t>0.0* Max CO2</t>
  </si>
  <si>
    <t>6.0* Max Elec (kWh)</t>
  </si>
  <si>
    <t>5.5* Max Elec (kWh)</t>
  </si>
  <si>
    <t>5.0* Max Elec (kWh)</t>
  </si>
  <si>
    <t>4.5* Max Elec (kWh)</t>
  </si>
  <si>
    <t>4.0* Max Elec (kWh)</t>
  </si>
  <si>
    <t>3.5* Max Elec (kWh)</t>
  </si>
  <si>
    <t>3.0* Max Elec (kWh)</t>
  </si>
  <si>
    <t>2.5* Max Elec (kWh)</t>
  </si>
  <si>
    <t>2.0* Max Elec (kWh)</t>
  </si>
  <si>
    <t>1.5* Max Elec (kWh)</t>
  </si>
  <si>
    <t>1.0* Max Elec (kWh)</t>
  </si>
  <si>
    <t>0.0* Max Elec (kWh)</t>
  </si>
  <si>
    <t>FWD Scope 1,2&amp;3</t>
  </si>
  <si>
    <t>FWD Scope 1&amp;2</t>
  </si>
  <si>
    <r>
      <t>Energy Star</t>
    </r>
    <r>
      <rPr>
        <vertAlign val="subscript"/>
        <sz val="10"/>
        <color theme="1"/>
        <rFont val="Calibri"/>
        <family val="2"/>
        <scheme val="minor"/>
      </rPr>
      <t xml:space="preserve"> (with GP)</t>
    </r>
  </si>
  <si>
    <r>
      <t>Energy Star Decimal</t>
    </r>
    <r>
      <rPr>
        <vertAlign val="subscript"/>
        <sz val="10"/>
        <color theme="1"/>
        <rFont val="Calibri"/>
        <family val="2"/>
        <scheme val="minor"/>
      </rPr>
      <t xml:space="preserve"> (with GP)</t>
    </r>
  </si>
  <si>
    <r>
      <t>NGE</t>
    </r>
    <r>
      <rPr>
        <vertAlign val="subscript"/>
        <sz val="10"/>
        <color theme="1"/>
        <rFont val="Calibri"/>
        <family val="2"/>
        <scheme val="minor"/>
      </rPr>
      <t xml:space="preserve"> published (with GP)</t>
    </r>
  </si>
  <si>
    <r>
      <t>Energy Star</t>
    </r>
    <r>
      <rPr>
        <vertAlign val="subscript"/>
        <sz val="10"/>
        <color theme="1"/>
        <rFont val="Calibri"/>
        <family val="2"/>
        <scheme val="minor"/>
      </rPr>
      <t xml:space="preserve"> (no GP)</t>
    </r>
  </si>
  <si>
    <r>
      <t>Energy Star Decimal</t>
    </r>
    <r>
      <rPr>
        <vertAlign val="subscript"/>
        <sz val="10"/>
        <color theme="1"/>
        <rFont val="Calibri"/>
        <family val="2"/>
        <scheme val="minor"/>
      </rPr>
      <t xml:space="preserve"> (no GP)</t>
    </r>
  </si>
  <si>
    <r>
      <t>NGE</t>
    </r>
    <r>
      <rPr>
        <vertAlign val="subscript"/>
        <sz val="10"/>
        <color theme="1"/>
        <rFont val="Calibri"/>
        <family val="2"/>
        <scheme val="minor"/>
      </rPr>
      <t xml:space="preserve"> published (no GP)</t>
    </r>
  </si>
  <si>
    <r>
      <t>R</t>
    </r>
    <r>
      <rPr>
        <vertAlign val="subscript"/>
        <sz val="10"/>
        <color theme="1"/>
        <rFont val="Calibri"/>
        <family val="2"/>
        <scheme val="minor"/>
      </rPr>
      <t>energy (with GP)</t>
    </r>
  </si>
  <si>
    <r>
      <t>R</t>
    </r>
    <r>
      <rPr>
        <vertAlign val="subscript"/>
        <sz val="10"/>
        <color theme="1"/>
        <rFont val="Calibri"/>
        <family val="2"/>
        <scheme val="minor"/>
      </rPr>
      <t>Energy (no GP)</t>
    </r>
  </si>
  <si>
    <r>
      <t>GE</t>
    </r>
    <r>
      <rPr>
        <vertAlign val="subscript"/>
        <sz val="10"/>
        <color theme="1"/>
        <rFont val="Calibri"/>
        <family val="2"/>
        <scheme val="minor"/>
      </rPr>
      <t xml:space="preserve"> (with GP)</t>
    </r>
  </si>
  <si>
    <r>
      <t xml:space="preserve">GE </t>
    </r>
    <r>
      <rPr>
        <vertAlign val="subscript"/>
        <sz val="10"/>
        <color theme="1"/>
        <rFont val="Calibri"/>
        <family val="2"/>
        <scheme val="minor"/>
      </rPr>
      <t>(no GP)</t>
    </r>
  </si>
  <si>
    <r>
      <t xml:space="preserve">NGE </t>
    </r>
    <r>
      <rPr>
        <vertAlign val="subscript"/>
        <sz val="10"/>
        <color theme="1"/>
        <rFont val="Calibri"/>
        <family val="2"/>
        <scheme val="minor"/>
      </rPr>
      <t>(with GP)</t>
    </r>
  </si>
  <si>
    <r>
      <t xml:space="preserve">NGE </t>
    </r>
    <r>
      <rPr>
        <vertAlign val="subscript"/>
        <sz val="10"/>
        <color theme="1"/>
        <rFont val="Calibri"/>
        <family val="2"/>
        <scheme val="minor"/>
      </rPr>
      <t>(no GP)</t>
    </r>
  </si>
  <si>
    <r>
      <t>Water Star</t>
    </r>
    <r>
      <rPr>
        <vertAlign val="subscript"/>
        <sz val="10"/>
        <color theme="1"/>
        <rFont val="Calibri"/>
        <family val="2"/>
        <scheme val="minor"/>
      </rPr>
      <t xml:space="preserve"> (with recyc)</t>
    </r>
  </si>
  <si>
    <r>
      <t>Water Star Decimal</t>
    </r>
    <r>
      <rPr>
        <vertAlign val="subscript"/>
        <sz val="10"/>
        <color theme="1"/>
        <rFont val="Calibri"/>
        <family val="2"/>
        <scheme val="minor"/>
      </rPr>
      <t xml:space="preserve"> (with recyc)</t>
    </r>
  </si>
  <si>
    <r>
      <t>Water Star</t>
    </r>
    <r>
      <rPr>
        <vertAlign val="subscript"/>
        <sz val="10"/>
        <color theme="1"/>
        <rFont val="Calibri"/>
        <family val="2"/>
        <scheme val="minor"/>
      </rPr>
      <t xml:space="preserve"> (no recyc)</t>
    </r>
  </si>
  <si>
    <r>
      <t>Water Star Decimal</t>
    </r>
    <r>
      <rPr>
        <vertAlign val="subscript"/>
        <sz val="10"/>
        <color theme="1"/>
        <rFont val="Calibri"/>
        <family val="2"/>
        <scheme val="minor"/>
      </rPr>
      <t xml:space="preserve"> (no recyc)</t>
    </r>
  </si>
  <si>
    <r>
      <t>w</t>
    </r>
    <r>
      <rPr>
        <vertAlign val="subscript"/>
        <sz val="10"/>
        <color theme="1"/>
        <rFont val="Calibri"/>
        <family val="2"/>
        <scheme val="minor"/>
      </rPr>
      <t xml:space="preserve"> (with recyc)</t>
    </r>
  </si>
  <si>
    <r>
      <t>w</t>
    </r>
    <r>
      <rPr>
        <vertAlign val="subscript"/>
        <sz val="10"/>
        <color theme="1"/>
        <rFont val="Calibri"/>
        <family val="2"/>
        <scheme val="minor"/>
      </rPr>
      <t xml:space="preserve"> (no recyc)</t>
    </r>
  </si>
  <si>
    <r>
      <t>R</t>
    </r>
    <r>
      <rPr>
        <vertAlign val="subscript"/>
        <sz val="10"/>
        <color theme="1"/>
        <rFont val="Calibri"/>
        <family val="2"/>
        <scheme val="minor"/>
      </rPr>
      <t>water (with recyc)</t>
    </r>
  </si>
  <si>
    <r>
      <t>R</t>
    </r>
    <r>
      <rPr>
        <vertAlign val="subscript"/>
        <sz val="10"/>
        <color theme="1"/>
        <rFont val="Calibri"/>
        <family val="2"/>
        <scheme val="minor"/>
      </rPr>
      <t>water (no recyc)</t>
    </r>
  </si>
  <si>
    <r>
      <t>R</t>
    </r>
    <r>
      <rPr>
        <vertAlign val="subscript"/>
        <sz val="10"/>
        <color theme="1"/>
        <rFont val="Calibri"/>
        <family val="2"/>
        <scheme val="minor"/>
      </rPr>
      <t>water0to5 (with recyc)</t>
    </r>
  </si>
  <si>
    <r>
      <t>R</t>
    </r>
    <r>
      <rPr>
        <vertAlign val="subscript"/>
        <sz val="10"/>
        <color theme="1"/>
        <rFont val="Calibri"/>
        <family val="2"/>
        <scheme val="minor"/>
      </rPr>
      <t>water0to5 (no recyc)</t>
    </r>
  </si>
  <si>
    <t>Tenancy</t>
  </si>
  <si>
    <t>Base Building</t>
  </si>
  <si>
    <t>NABERS Energy and Water for Apartments
Reverse Calculator</t>
  </si>
  <si>
    <t>The NABERS Energy and Water for Aparments reverse calculator helps you calculate the maximum amounts of energy and water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t>
  </si>
  <si>
    <t>What is the total number of apartments?</t>
  </si>
  <si>
    <t>How many apartments in this scheme are centrally air-conditioned?</t>
  </si>
  <si>
    <t>How many apartments are condenser water serviced?</t>
  </si>
  <si>
    <t>Number of apartments with no central air-conditioning serviced apartments (no input required)</t>
  </si>
  <si>
    <t>Energy Specific Information</t>
  </si>
  <si>
    <t>How many apartments are lift-serviced?</t>
  </si>
  <si>
    <t>What sort of pool facility does the scheme have?</t>
  </si>
  <si>
    <t>Does the scheme have a gym?</t>
  </si>
  <si>
    <t>How many mechanically ventilated car parking spaces are there?</t>
  </si>
  <si>
    <t>How many naturally ventilated car parking spaces are there?</t>
  </si>
  <si>
    <t>Water Rating Specific Information</t>
  </si>
  <si>
    <t>How many apartments are centrally metered?</t>
  </si>
  <si>
    <t>How many apartments have their own cold water meter, and are supplied with central domestic hot water?</t>
  </si>
  <si>
    <t>How many apartments have their own cold water meter, and are NOT supplied with central domestic hot water?</t>
  </si>
  <si>
    <t>How many apartments in this scheme are central air-conditioning serviced (water)? (no input required)</t>
  </si>
  <si>
    <t>Predicted Average Benchmarking Emissions for this Apartment Complex</t>
  </si>
  <si>
    <t>Predicted Ave Emissions</t>
  </si>
  <si>
    <t>Reporting Emissions for this Apartment Complex - Scope 1, 2 and 3</t>
  </si>
  <si>
    <t>Reporting Emissions for this Apartment Complex - Scope 1 and 2</t>
  </si>
  <si>
    <t>kgCO2-e/apartment.year</t>
  </si>
  <si>
    <t>MJ/apartment.year</t>
  </si>
  <si>
    <t>Predicted Average Water Consumption for this Apartment Complex</t>
  </si>
  <si>
    <t>Predicted Ave Water</t>
  </si>
  <si>
    <t>kL/room.year</t>
  </si>
  <si>
    <t>Green Power (%)</t>
  </si>
  <si>
    <t>e-BF (with GP)</t>
  </si>
  <si>
    <t>e-BF (no GP)</t>
  </si>
  <si>
    <t>Benchmarking Factor (with recyc)</t>
  </si>
  <si>
    <t>w-BF (with recyc)</t>
  </si>
  <si>
    <t>Benchmarking Factor (no recyc)</t>
  </si>
  <si>
    <t>w-BF (no recyc)</t>
  </si>
  <si>
    <t>Apartment Complex Info</t>
  </si>
  <si>
    <t>Original reverse calc water inputs</t>
  </si>
  <si>
    <t>Water Outputs</t>
  </si>
  <si>
    <t>FWD Energy Consumption:</t>
  </si>
  <si>
    <t>Universal Calcs</t>
  </si>
  <si>
    <t>Reverse Energy Results</t>
  </si>
  <si>
    <t>Reverse Bulk Benchmarking Factors</t>
  </si>
  <si>
    <t>Reverse Bulk Energy Results</t>
  </si>
  <si>
    <t>Reverse Water Bulk Results</t>
  </si>
  <si>
    <t>Number of Apartments</t>
  </si>
  <si>
    <t>Number of apartments with Central AC</t>
  </si>
  <si>
    <t>Number of apartments with condenser water service</t>
  </si>
  <si>
    <t>Apartments with no centrally serviced AC</t>
  </si>
  <si>
    <t>Number of lift serviced apartments</t>
  </si>
  <si>
    <t>Pool</t>
  </si>
  <si>
    <t>Months Pool is available</t>
  </si>
  <si>
    <t>Gym</t>
  </si>
  <si>
    <t>Months gym is available</t>
  </si>
  <si>
    <t>Number of naturally ventilated car spaces</t>
  </si>
  <si>
    <t>Number of mechanically ventilated car spaces</t>
  </si>
  <si>
    <t>Number of Apartments Centrally Water Metered</t>
  </si>
  <si>
    <t>Number of Apartment with Own Water Meter provided with central DHW</t>
  </si>
  <si>
    <t>Number of Apartment with Own Water Meter NOT provided with central DHW</t>
  </si>
  <si>
    <t>Number of apartments with Central AC (for water)</t>
  </si>
  <si>
    <t>Predicted Emissions kgCO2/Apartment</t>
  </si>
  <si>
    <t>State Specific Co-efficient</t>
  </si>
  <si>
    <t>Predicted Central AC Emission</t>
  </si>
  <si>
    <t>Predicted Condenser Water Emissions</t>
  </si>
  <si>
    <t>GNCS</t>
  </si>
  <si>
    <t>Predicted Lift Emissions</t>
  </si>
  <si>
    <t>Predicted Pool Emissions</t>
  </si>
  <si>
    <t>Predicted Gym Emissions</t>
  </si>
  <si>
    <t>Predicted Car Park Emissions</t>
  </si>
  <si>
    <t>Predicted Mech Car Park Emissions</t>
  </si>
  <si>
    <t>Predicted Nat Car Park Emissions</t>
  </si>
  <si>
    <t>Single Water meter with central AC</t>
  </si>
  <si>
    <t>Single Water meter no central AC</t>
  </si>
  <si>
    <t>Apt water meter, central AC, DHW</t>
  </si>
  <si>
    <t>Apt water meter, no central AC, DHW</t>
  </si>
  <si>
    <t>Apt water meter, central AC, no DHW</t>
  </si>
  <si>
    <t>Apt water meter, no central AC, no DHW</t>
  </si>
  <si>
    <t>Tota Predicted emissions (er*GLAR)</t>
  </si>
  <si>
    <t>6.0* Max Benchmarking Factor</t>
  </si>
  <si>
    <t>5.5* Max Benchmarking Factor</t>
  </si>
  <si>
    <t>5.0* Max Benchmarking Factor</t>
  </si>
  <si>
    <t>4.5* Max Benchmarking Factor</t>
  </si>
  <si>
    <t>4.0* Max Benchmarking Factor</t>
  </si>
  <si>
    <t>3.5* Max Benchmarking Factor</t>
  </si>
  <si>
    <t>3.0* Max Benchmarking Factor</t>
  </si>
  <si>
    <t>2.5* Max Benchmarking Factor</t>
  </si>
  <si>
    <t>2.0* Max Benchmarking Factor</t>
  </si>
  <si>
    <t>1.5* Max Benchmarking Factor</t>
  </si>
  <si>
    <t>1.0* Max Benchmarking Factor</t>
  </si>
  <si>
    <t>0.0* Max Benchmarking Factor</t>
  </si>
  <si>
    <t>6.0* Max Emissions (kg/room)</t>
  </si>
  <si>
    <t>5.5* Max Emissions (kg/room)</t>
  </si>
  <si>
    <t>5.0* Max Emissions (kg/room)</t>
  </si>
  <si>
    <t>4.5* Max Emissions (kg/room)</t>
  </si>
  <si>
    <t>4.0* Max Emissions (kg/room)</t>
  </si>
  <si>
    <t>3.5* Max Emissions (kg/room)</t>
  </si>
  <si>
    <t>3.0* Max Emissions (kg/room)</t>
  </si>
  <si>
    <t>2.5* Max Emissions (kg/room)</t>
  </si>
  <si>
    <t>2.0* Max Emissions (kg/room)</t>
  </si>
  <si>
    <t>1.5* Max Emissions (kg/room)</t>
  </si>
  <si>
    <t>1.0* Max Emissions (kg/room)</t>
  </si>
  <si>
    <t>0.0* Max Emissions (kg/room)</t>
  </si>
  <si>
    <t>Energy Star with GP</t>
  </si>
  <si>
    <t>Energy Star Decimal with GP</t>
  </si>
  <si>
    <t>Energy Star no GP</t>
  </si>
  <si>
    <t>Energy Star Decimal no GP</t>
  </si>
  <si>
    <t>e GreenPower</t>
  </si>
  <si>
    <t>e no GP</t>
  </si>
  <si>
    <t>BF (e/er) w/ GreenPower</t>
  </si>
  <si>
    <t>BF (e/er)</t>
    <phoneticPr fontId="21" type="noConversion"/>
  </si>
  <si>
    <t>Water Star</t>
  </si>
  <si>
    <t>Small Water Star</t>
  </si>
  <si>
    <t>Water Star with recyc</t>
  </si>
  <si>
    <t>Small Water Star with recyc</t>
  </si>
  <si>
    <t>Normalised Water Consumption</t>
  </si>
  <si>
    <t>Apartments</t>
  </si>
  <si>
    <r>
      <t>N</t>
    </r>
    <r>
      <rPr>
        <b/>
        <vertAlign val="subscript"/>
        <sz val="10"/>
        <color theme="1"/>
        <rFont val="Calibri"/>
        <family val="2"/>
        <scheme val="minor"/>
      </rPr>
      <t>CAC</t>
    </r>
  </si>
  <si>
    <r>
      <t>N</t>
    </r>
    <r>
      <rPr>
        <b/>
        <vertAlign val="subscript"/>
        <sz val="10"/>
        <color theme="1"/>
        <rFont val="Calibri"/>
        <family val="2"/>
        <scheme val="minor"/>
      </rPr>
      <t>CW</t>
    </r>
  </si>
  <si>
    <r>
      <t>N</t>
    </r>
    <r>
      <rPr>
        <b/>
        <vertAlign val="subscript"/>
        <sz val="10"/>
        <color theme="1"/>
        <rFont val="Calibri"/>
        <family val="2"/>
        <scheme val="minor"/>
      </rPr>
      <t>NCS</t>
    </r>
  </si>
  <si>
    <r>
      <t>N</t>
    </r>
    <r>
      <rPr>
        <b/>
        <vertAlign val="subscript"/>
        <sz val="10"/>
        <color theme="1"/>
        <rFont val="Calibri"/>
        <family val="2"/>
        <scheme val="minor"/>
      </rPr>
      <t>lift</t>
    </r>
  </si>
  <si>
    <t>TMPA</t>
  </si>
  <si>
    <t>TMGA</t>
  </si>
  <si>
    <r>
      <t>CP</t>
    </r>
    <r>
      <rPr>
        <b/>
        <vertAlign val="subscript"/>
        <sz val="10"/>
        <color theme="1"/>
        <rFont val="Calibri"/>
        <family val="2"/>
        <scheme val="minor"/>
      </rPr>
      <t>NV</t>
    </r>
  </si>
  <si>
    <r>
      <t>CP</t>
    </r>
    <r>
      <rPr>
        <b/>
        <vertAlign val="subscript"/>
        <sz val="10"/>
        <color theme="1"/>
        <rFont val="Calibri"/>
        <family val="2"/>
        <scheme val="minor"/>
      </rPr>
      <t>MV</t>
    </r>
  </si>
  <si>
    <t>CentralColdWater</t>
  </si>
  <si>
    <t>ColdWaterCentralDHW</t>
  </si>
  <si>
    <t>ColdWaterCentralNoDHW</t>
  </si>
  <si>
    <t>CentralACWater</t>
  </si>
  <si>
    <t>Energy Benchmark Factor</t>
  </si>
  <si>
    <t>Water Benchmark Factor</t>
  </si>
  <si>
    <t>EffGHG</t>
  </si>
  <si>
    <r>
      <t>e</t>
    </r>
    <r>
      <rPr>
        <vertAlign val="subscript"/>
        <sz val="10"/>
        <color theme="1"/>
        <rFont val="Calibri"/>
        <family val="2"/>
        <scheme val="minor"/>
      </rPr>
      <t>r</t>
    </r>
  </si>
  <si>
    <r>
      <t>e</t>
    </r>
    <r>
      <rPr>
        <vertAlign val="subscript"/>
        <sz val="10"/>
        <color theme="1"/>
        <rFont val="Calibri"/>
        <family val="2"/>
        <scheme val="minor"/>
      </rPr>
      <t>r Separate CP Cap</t>
    </r>
  </si>
  <si>
    <t>Energy Intercept</t>
  </si>
  <si>
    <t>GCAC</t>
  </si>
  <si>
    <t>GCW</t>
  </si>
  <si>
    <t>Glift</t>
  </si>
  <si>
    <t>Gpool</t>
  </si>
  <si>
    <t>Ggym</t>
  </si>
  <si>
    <t>GCP</t>
  </si>
  <si>
    <t>GCPMV</t>
  </si>
  <si>
    <t>GCPNV</t>
  </si>
  <si>
    <t>GCP Separate Cap</t>
  </si>
  <si>
    <r>
      <t>w</t>
    </r>
    <r>
      <rPr>
        <vertAlign val="subscript"/>
        <sz val="10"/>
        <color theme="1"/>
        <rFont val="Calibri"/>
        <family val="2"/>
        <scheme val="minor"/>
      </rPr>
      <t>r</t>
    </r>
  </si>
  <si>
    <t xml:space="preserve"> Number Single Water meter with central AC</t>
  </si>
  <si>
    <t xml:space="preserve"> Number Single Water meter no central AC</t>
  </si>
  <si>
    <t xml:space="preserve"> Number Apt water meter, central AC, DHW</t>
  </si>
  <si>
    <t xml:space="preserve"> Number Apt water meter, no central AC, DHW</t>
  </si>
  <si>
    <t xml:space="preserve"> Number Apt water meter, central AC, no DHW</t>
  </si>
  <si>
    <t xml:space="preserve"> Number Apt water meter, no central AC, no DHW</t>
  </si>
  <si>
    <t>Coeff Single Water meter with central AC</t>
  </si>
  <si>
    <t>Coeff Single Water meter no central AC</t>
  </si>
  <si>
    <t>Coeff Apt water meter, central AC, DHW</t>
  </si>
  <si>
    <t>Coeff Apt water meter, no central AC, DHW</t>
  </si>
  <si>
    <t>Coeff Apt water meter, central AC, no DHW</t>
  </si>
  <si>
    <t>Coeff Apt water meter, no central AC, no DHW</t>
  </si>
  <si>
    <t>Orig correction Single Water meter with central AC</t>
  </si>
  <si>
    <t>Orig correction Single Water meter no central AC</t>
  </si>
  <si>
    <t>Orig correction Apt water meter, central AC, DHW</t>
  </si>
  <si>
    <t>Orig correction Apt water meter, no central AC, DHW</t>
  </si>
  <si>
    <t>Orig correction Apt water meter, central AC, no DHW</t>
  </si>
  <si>
    <t>Orig correction Apt water meter, no central AC, no DHW</t>
  </si>
  <si>
    <t>Predicted Emissions</t>
  </si>
  <si>
    <t>Target Max Energy BF</t>
  </si>
  <si>
    <t>Target Max e</t>
  </si>
  <si>
    <t>Predicted Water</t>
  </si>
  <si>
    <t>Target Max Water BF</t>
  </si>
  <si>
    <t>Target Max Water (kL)</t>
  </si>
  <si>
    <t>Target Max Water Intensity</t>
  </si>
  <si>
    <t>6.0* Max BF</t>
  </si>
  <si>
    <t>5.5* Max BF</t>
  </si>
  <si>
    <t>5.0* Max BF</t>
  </si>
  <si>
    <t>4.5* Max BF</t>
  </si>
  <si>
    <t>4.0* Max BF</t>
  </si>
  <si>
    <t>3.5* Max BF</t>
  </si>
  <si>
    <t>3.0* Max BF</t>
  </si>
  <si>
    <t>2.5* Max BF</t>
  </si>
  <si>
    <t>2.0* Max BF</t>
  </si>
  <si>
    <t>1.5* Max BF</t>
  </si>
  <si>
    <t>1.0* Max BF</t>
  </si>
  <si>
    <t>0.0* Max BF</t>
  </si>
  <si>
    <t>6.0* Max e</t>
  </si>
  <si>
    <t>5.5* Max e</t>
  </si>
  <si>
    <t>5.0* Max e</t>
  </si>
  <si>
    <t>4.5* Max e</t>
  </si>
  <si>
    <t>4.0* Max e</t>
  </si>
  <si>
    <t>3.5* Max e</t>
  </si>
  <si>
    <t>3.0* Max e</t>
  </si>
  <si>
    <t>2.5* Max e</t>
  </si>
  <si>
    <t>2.0* Max e</t>
  </si>
  <si>
    <t>1.5* Max e</t>
  </si>
  <si>
    <t>1.0* Max e</t>
  </si>
  <si>
    <t>0.0* Max e</t>
  </si>
  <si>
    <r>
      <t>e</t>
    </r>
    <r>
      <rPr>
        <vertAlign val="subscript"/>
        <sz val="10"/>
        <color theme="1"/>
        <rFont val="Calibri"/>
        <family val="2"/>
        <scheme val="minor"/>
      </rPr>
      <t xml:space="preserve"> (with GP)</t>
    </r>
  </si>
  <si>
    <r>
      <t>e</t>
    </r>
    <r>
      <rPr>
        <vertAlign val="subscript"/>
        <sz val="10"/>
        <color theme="1"/>
        <rFont val="Calibri"/>
        <family val="2"/>
        <scheme val="minor"/>
      </rPr>
      <t xml:space="preserve"> (no GP)</t>
    </r>
  </si>
  <si>
    <r>
      <t>e-BF</t>
    </r>
    <r>
      <rPr>
        <vertAlign val="subscript"/>
        <sz val="10"/>
        <color theme="1"/>
        <rFont val="Calibr"/>
      </rPr>
      <t xml:space="preserve"> (with GP)</t>
    </r>
  </si>
  <si>
    <r>
      <t>e-BF</t>
    </r>
    <r>
      <rPr>
        <vertAlign val="subscript"/>
        <sz val="10"/>
        <color theme="1"/>
        <rFont val="Calibr"/>
      </rPr>
      <t xml:space="preserve"> (no GP)</t>
    </r>
  </si>
  <si>
    <r>
      <t>w-BF</t>
    </r>
    <r>
      <rPr>
        <vertAlign val="subscript"/>
        <sz val="10"/>
        <color theme="1"/>
        <rFont val="Calibr"/>
      </rPr>
      <t xml:space="preserve"> (with recyc)</t>
    </r>
  </si>
  <si>
    <r>
      <t>w-BF</t>
    </r>
    <r>
      <rPr>
        <vertAlign val="subscript"/>
        <sz val="10"/>
        <color theme="1"/>
        <rFont val="Calibr"/>
      </rPr>
      <t xml:space="preserve"> (no recyc)</t>
    </r>
  </si>
  <si>
    <t>Temperature controlled pool</t>
  </si>
  <si>
    <t>Yes</t>
  </si>
  <si>
    <t>No</t>
  </si>
  <si>
    <t>NABERS Energy for Data Centres
Reverse Calculator</t>
  </si>
  <si>
    <t>The NABERS Energy for Data Centres reverse calculator helps you calculate the maximum amounts of energy a building can use to achieve a star rating that you specify. To ensure you achieve the rating, you should allow a factor of safety, and not design to the minimum figure for each star band. The outputs are the maximum amounts of energy allowed to be used to achieve the rating you nominate.
Note: the reverse calculator provides targets in 0.1 star increments, but NABERS only certifies 0.5 star increments from 1 to 6 stars.</t>
  </si>
  <si>
    <t>1. ENTER THE TYPE OF DATA CENTRE YOU ARE RATING</t>
  </si>
  <si>
    <t>Predicted Average Benchmarking Emissions for this Data Centre</t>
  </si>
  <si>
    <t>Max Daily IT Emissions at Target</t>
  </si>
  <si>
    <t>Target PUE</t>
  </si>
  <si>
    <t>Target Rating Period Max IT Elec (kWh)</t>
  </si>
  <si>
    <t>Target Rating Period Max Daily IT Elec (kWh)</t>
  </si>
  <si>
    <t>Residual (with GP)</t>
  </si>
  <si>
    <t>p (with GP)</t>
  </si>
  <si>
    <t>Residual (no GP)</t>
  </si>
  <si>
    <t>p (no GP)</t>
  </si>
  <si>
    <t>Data Centre Info</t>
  </si>
  <si>
    <t>Universal Calcs</t>
    <phoneticPr fontId="21" type="noConversion"/>
  </si>
  <si>
    <t>Emissions Factors</t>
  </si>
  <si>
    <t>Energy Forward Results</t>
  </si>
  <si>
    <t>Total Assessable Processing (GHz) (IT &amp; Whole only)</t>
  </si>
  <si>
    <t>Total Assessable Storage (TB) (IT &amp; Whole only)</t>
  </si>
  <si>
    <t>Days in IT Equipment Rating Period</t>
  </si>
  <si>
    <t>% Metered Heat Rejection (Infrastructure &amp; Whole only)</t>
  </si>
  <si>
    <t>Assessable IT Energy (kWh/yr)</t>
  </si>
  <si>
    <t>Total Predicted Emissions</t>
  </si>
  <si>
    <t>Assessable IT emissions for Infrastructure rating (kgCO2/year)</t>
  </si>
  <si>
    <t>Benchmark predicted IT consumption for IT and Whole Facility rating (kWh/year)</t>
  </si>
  <si>
    <t>Benchmark predicted IT emissions for IT and Whole Facility rating (kgCO2/year)</t>
  </si>
  <si>
    <t>Climate correction for Infrastructure rating (kgCO2/year)</t>
  </si>
  <si>
    <t>Condenser water correction for Infrastructure rating(kgCO2/year)</t>
  </si>
  <si>
    <t>Climate correction for Whole facility rating (kgCO2/year)</t>
  </si>
  <si>
    <t>Condenser water correction for Whole Facility rating(kgCO2/year)</t>
  </si>
  <si>
    <t>Rating Band Coefficient</t>
  </si>
  <si>
    <t>6.0* Max Residual</t>
  </si>
  <si>
    <t>5.5* Max Residual</t>
  </si>
  <si>
    <t>5.0* Max Residual</t>
  </si>
  <si>
    <t>4.5* Max Residual</t>
  </si>
  <si>
    <t>4.0* Max Residual</t>
  </si>
  <si>
    <t>3.5* Max Residual</t>
  </si>
  <si>
    <t>3.0* Max Residual</t>
  </si>
  <si>
    <t>2.5* Max Residual</t>
  </si>
  <si>
    <t>2.0* Max Residual</t>
  </si>
  <si>
    <t>1.5* Max Residual</t>
  </si>
  <si>
    <t>1.0* Max Residual</t>
  </si>
  <si>
    <t>0.0* Max Residual</t>
  </si>
  <si>
    <t>Small Energy Star without GP</t>
  </si>
  <si>
    <t>Percentage Residual</t>
  </si>
  <si>
    <t>Percentage Residual GreenPower</t>
  </si>
  <si>
    <r>
      <t>P</t>
    </r>
    <r>
      <rPr>
        <b/>
        <vertAlign val="subscript"/>
        <sz val="10"/>
        <color theme="1"/>
        <rFont val="Calibri"/>
        <family val="2"/>
        <scheme val="minor"/>
      </rPr>
      <t>capacity</t>
    </r>
  </si>
  <si>
    <r>
      <t>S</t>
    </r>
    <r>
      <rPr>
        <b/>
        <vertAlign val="subscript"/>
        <sz val="10"/>
        <color theme="1"/>
        <rFont val="Calibri"/>
        <family val="2"/>
        <scheme val="minor"/>
      </rPr>
      <t>capacity</t>
    </r>
  </si>
  <si>
    <t>Rating Period</t>
  </si>
  <si>
    <r>
      <t>%HR</t>
    </r>
    <r>
      <rPr>
        <b/>
        <vertAlign val="subscript"/>
        <sz val="10"/>
        <color theme="1"/>
        <rFont val="Calibri"/>
        <family val="2"/>
        <scheme val="minor"/>
      </rPr>
      <t>Metered</t>
    </r>
  </si>
  <si>
    <t>Assessable IT Energy</t>
  </si>
  <si>
    <r>
      <t>E</t>
    </r>
    <r>
      <rPr>
        <vertAlign val="subscript"/>
        <sz val="10"/>
        <color theme="1"/>
        <rFont val="Calibri"/>
        <family val="2"/>
        <scheme val="minor"/>
      </rPr>
      <t>IT(Inf)</t>
    </r>
  </si>
  <si>
    <t>EITkWhBenchmark</t>
  </si>
  <si>
    <r>
      <t>e</t>
    </r>
    <r>
      <rPr>
        <vertAlign val="subscript"/>
        <sz val="10"/>
        <color theme="1"/>
        <rFont val="Calibri"/>
        <family val="2"/>
        <scheme val="minor"/>
      </rPr>
      <t>IT(IT)</t>
    </r>
  </si>
  <si>
    <t>Climate Correction Infrastructure</t>
  </si>
  <si>
    <t>Condenser Water Correction for Infrastructure</t>
  </si>
  <si>
    <t>Climate Correction Whole Facility</t>
  </si>
  <si>
    <t>Condenser Water Correction for Whole Facility</t>
  </si>
  <si>
    <t>Target Residual (p)</t>
  </si>
  <si>
    <t xml:space="preserve">Target Rating Period Max IT CO2 </t>
  </si>
  <si>
    <r>
      <t>R</t>
    </r>
    <r>
      <rPr>
        <vertAlign val="subscript"/>
        <sz val="10"/>
        <color theme="1"/>
        <rFont val="Calibri"/>
        <family val="2"/>
        <scheme val="minor"/>
      </rPr>
      <t xml:space="preserve"> (with GP)</t>
    </r>
  </si>
  <si>
    <r>
      <t>R</t>
    </r>
    <r>
      <rPr>
        <vertAlign val="subscript"/>
        <sz val="10"/>
        <color theme="1"/>
        <rFont val="Calibri"/>
        <family val="2"/>
        <scheme val="minor"/>
      </rPr>
      <t xml:space="preserve"> (no GP)</t>
    </r>
  </si>
  <si>
    <r>
      <t>p</t>
    </r>
    <r>
      <rPr>
        <vertAlign val="subscript"/>
        <sz val="10"/>
        <color theme="1"/>
        <rFont val="Calibri"/>
        <family val="2"/>
        <scheme val="minor"/>
      </rPr>
      <t xml:space="preserve"> (with GP)</t>
    </r>
  </si>
  <si>
    <r>
      <t>p</t>
    </r>
    <r>
      <rPr>
        <vertAlign val="subscript"/>
        <sz val="10"/>
        <color theme="1"/>
        <rFont val="Calibri"/>
        <family val="2"/>
        <scheme val="minor"/>
      </rPr>
      <t xml:space="preserve"> (no GP)</t>
    </r>
  </si>
  <si>
    <t>Infrastructure</t>
  </si>
  <si>
    <t>IT Equipment</t>
  </si>
  <si>
    <t>NABERS Energy and Water for Hotels
Reverse Calculator</t>
  </si>
  <si>
    <t>The NABERS Energy and Water for Hotels reverse calculator helps you calculate the maximum amounts of energy and water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 from 1 to 6 stars.</t>
  </si>
  <si>
    <t>Hotel AAA Star Rating</t>
  </si>
  <si>
    <t>Number of Rooms in the Hotel</t>
  </si>
  <si>
    <t>Number of Rooms with Full Service Laundering</t>
  </si>
  <si>
    <t>Number of Function Room Seats</t>
  </si>
  <si>
    <t>Surface Area of Heated Pools (m²)</t>
  </si>
  <si>
    <t>Predicted Average Benchmarking Emissions for this Hotel</t>
  </si>
  <si>
    <t>Reporting Emissions for this Hotel - Scope 1, 2 and 3</t>
  </si>
  <si>
    <t>Reporting Emissions for this Hotel - Scope 1 and 2</t>
  </si>
  <si>
    <t>kgCO2-e/room.year</t>
  </si>
  <si>
    <t>MJ/room.year</t>
  </si>
  <si>
    <t>Predicted Average Water Consumption for this Hotel</t>
  </si>
  <si>
    <t>Emissions per room (with GP)</t>
  </si>
  <si>
    <r>
      <t>kgCO</t>
    </r>
    <r>
      <rPr>
        <vertAlign val="subscript"/>
        <sz val="10"/>
        <color indexed="53"/>
        <rFont val="Arial"/>
        <family val="2"/>
      </rPr>
      <t>2</t>
    </r>
    <r>
      <rPr>
        <sz val="10"/>
        <color indexed="53"/>
        <rFont val="Arial"/>
        <family val="2"/>
      </rPr>
      <t>-e/room</t>
    </r>
  </si>
  <si>
    <t>e (with GP)</t>
  </si>
  <si>
    <t>Emissions per Room (no GP)</t>
  </si>
  <si>
    <t>e (no GP)</t>
  </si>
  <si>
    <t>Consumption per room (with recyc)</t>
  </si>
  <si>
    <t>kL/room</t>
  </si>
  <si>
    <t>Consumption per room (no recyc)</t>
  </si>
  <si>
    <t>Hotel Info</t>
  </si>
  <si>
    <t>Benchmark Emissions Factors</t>
  </si>
  <si>
    <t>Current Emissions Factors</t>
  </si>
  <si>
    <t>Energy Int Calcs With Caculated SSA</t>
  </si>
  <si>
    <t>Water Results Forward</t>
  </si>
  <si>
    <t>AAA Star Rating</t>
  </si>
  <si>
    <t>Guest Rooms</t>
  </si>
  <si>
    <t>Full Laundry Serviced Rooms</t>
  </si>
  <si>
    <t>Function Room Seats</t>
  </si>
  <si>
    <t>Heated Pool Area</t>
  </si>
  <si>
    <t>SGEelec 2008 (kgCO2/kWh)</t>
  </si>
  <si>
    <t>SGEgas 2008 (kgCO2/MJ)</t>
  </si>
  <si>
    <t>SGEdiesel 2008 (kgCO2/Litre)</t>
  </si>
  <si>
    <t>Ggas</t>
    <phoneticPr fontId="21" type="noConversion"/>
  </si>
  <si>
    <t>Ggeneral</t>
    <phoneticPr fontId="21" type="noConversion"/>
  </si>
  <si>
    <t>Predicted Emissions per room e (from A)</t>
  </si>
  <si>
    <t>Predicted Emissions per room e (from A rounded)</t>
  </si>
  <si>
    <t>Predicted Emissions per room e (from Zy)</t>
  </si>
  <si>
    <t>9.8*HDD</t>
  </si>
  <si>
    <t>23087*nfsl/N</t>
  </si>
  <si>
    <t>10692*Aheatedpool/N</t>
  </si>
  <si>
    <t>2.551*CDD</t>
  </si>
  <si>
    <t>4723*(S-2)</t>
  </si>
  <si>
    <t>1212*nfuncseats/N</t>
  </si>
  <si>
    <t>Total Predicted Emissions e*N (from A)</t>
  </si>
  <si>
    <t>Total Predicted Emissions e*N (from Zy)</t>
  </si>
  <si>
    <t>State Specific Coefficient</t>
  </si>
  <si>
    <t>Calculated Baseline Adjustment Factor (also Specific Coefficient - A)</t>
  </si>
  <si>
    <t>Baseline Site Type Fossil Fuel adjustment factor</t>
  </si>
  <si>
    <t>Predicted Water Consumption kL/yr</t>
  </si>
  <si>
    <t>Predicted Water Consumption kL/room</t>
  </si>
  <si>
    <t>61.28*nfsl/N</t>
  </si>
  <si>
    <t>19.24*(S-2)</t>
  </si>
  <si>
    <t>0.0338*CDD</t>
  </si>
  <si>
    <t>13.84*nfuncseats/N</t>
  </si>
  <si>
    <t>5 star adjustment to wr - calculated</t>
  </si>
  <si>
    <t>6.0* Max Water (kL/room)</t>
  </si>
  <si>
    <t>5.5* Max Water (kL/room)</t>
  </si>
  <si>
    <t>5.0* Max Water (kL/room)</t>
  </si>
  <si>
    <t>4.5* Max Water (kL/room)</t>
  </si>
  <si>
    <t>4.0* Max Water (kL/room)</t>
  </si>
  <si>
    <t>3.5* Max Water (kL/room)</t>
  </si>
  <si>
    <t>3.0* Max Water (kL/room)</t>
  </si>
  <si>
    <t>2.5* Max Water (kL/room)</t>
  </si>
  <si>
    <t>2.0* Max Water (kL/room)</t>
  </si>
  <si>
    <t>1.5* Max Water (kL/room)</t>
  </si>
  <si>
    <t>1.0* Max Water (kL/room)</t>
  </si>
  <si>
    <t>0.0* Max Water (kL/room)</t>
  </si>
  <si>
    <t>FWD Benchmarking Factor</t>
  </si>
  <si>
    <t>AAAStar</t>
  </si>
  <si>
    <t>Rooms</t>
  </si>
  <si>
    <r>
      <t>n</t>
    </r>
    <r>
      <rPr>
        <b/>
        <vertAlign val="subscript"/>
        <sz val="10"/>
        <color theme="1"/>
        <rFont val="Calibri"/>
        <family val="2"/>
        <scheme val="minor"/>
      </rPr>
      <t>fsl</t>
    </r>
  </si>
  <si>
    <r>
      <t>n</t>
    </r>
    <r>
      <rPr>
        <b/>
        <vertAlign val="subscript"/>
        <sz val="10"/>
        <color theme="1"/>
        <rFont val="Calibri"/>
        <family val="2"/>
        <scheme val="minor"/>
      </rPr>
      <t>funcseats</t>
    </r>
  </si>
  <si>
    <r>
      <t>A</t>
    </r>
    <r>
      <rPr>
        <b/>
        <vertAlign val="subscript"/>
        <sz val="10"/>
        <color theme="1"/>
        <rFont val="Calibri"/>
        <family val="2"/>
        <scheme val="minor"/>
      </rPr>
      <t>heatedpool</t>
    </r>
  </si>
  <si>
    <t>water</t>
  </si>
  <si>
    <r>
      <t>SGE</t>
    </r>
    <r>
      <rPr>
        <vertAlign val="subscript"/>
        <sz val="10"/>
        <color theme="1"/>
        <rFont val="Calibri"/>
        <family val="2"/>
        <scheme val="minor"/>
      </rPr>
      <t>e2008</t>
    </r>
  </si>
  <si>
    <r>
      <t>SGE</t>
    </r>
    <r>
      <rPr>
        <vertAlign val="subscript"/>
        <sz val="10"/>
        <color theme="1"/>
        <rFont val="Calibri"/>
        <family val="2"/>
        <scheme val="minor"/>
      </rPr>
      <t>g2008</t>
    </r>
  </si>
  <si>
    <r>
      <t>SGE</t>
    </r>
    <r>
      <rPr>
        <vertAlign val="subscript"/>
        <sz val="10"/>
        <color theme="1"/>
        <rFont val="Calibri"/>
        <family val="2"/>
        <scheme val="minor"/>
      </rPr>
      <t>d2008</t>
    </r>
  </si>
  <si>
    <r>
      <t>SGE</t>
    </r>
    <r>
      <rPr>
        <vertAlign val="subscript"/>
        <sz val="10"/>
        <color theme="1"/>
        <rFont val="Calibri"/>
        <family val="2"/>
        <scheme val="minor"/>
      </rPr>
      <t>eMJ</t>
    </r>
  </si>
  <si>
    <r>
      <t>SGE</t>
    </r>
    <r>
      <rPr>
        <vertAlign val="subscript"/>
        <sz val="10"/>
        <color theme="1"/>
        <rFont val="Calibri"/>
        <family val="2"/>
        <scheme val="minor"/>
      </rPr>
      <t>dMJ</t>
    </r>
  </si>
  <si>
    <r>
      <t>G</t>
    </r>
    <r>
      <rPr>
        <vertAlign val="subscript"/>
        <sz val="10"/>
        <color theme="1"/>
        <rFont val="Calibri"/>
        <family val="2"/>
        <scheme val="minor"/>
      </rPr>
      <t>gas2008</t>
    </r>
  </si>
  <si>
    <r>
      <t>G</t>
    </r>
    <r>
      <rPr>
        <vertAlign val="subscript"/>
        <sz val="10"/>
        <color theme="1"/>
        <rFont val="Calibri"/>
        <family val="2"/>
        <scheme val="minor"/>
      </rPr>
      <t>general2008</t>
    </r>
  </si>
  <si>
    <r>
      <t>er</t>
    </r>
    <r>
      <rPr>
        <vertAlign val="subscript"/>
        <sz val="10"/>
        <color theme="1"/>
        <rFont val="Calibri"/>
        <family val="2"/>
        <scheme val="minor"/>
      </rPr>
      <t xml:space="preserve"> (from A unrounded)</t>
    </r>
  </si>
  <si>
    <r>
      <t>e</t>
    </r>
    <r>
      <rPr>
        <vertAlign val="subscript"/>
        <sz val="10"/>
        <color theme="1"/>
        <rFont val="Calibri"/>
        <family val="2"/>
        <scheme val="minor"/>
      </rPr>
      <t>r (from Zy)</t>
    </r>
  </si>
  <si>
    <r>
      <t>Total Predicted Emissions</t>
    </r>
    <r>
      <rPr>
        <vertAlign val="subscript"/>
        <sz val="10"/>
        <color theme="1"/>
        <rFont val="Calibri"/>
        <family val="2"/>
        <scheme val="minor"/>
      </rPr>
      <t xml:space="preserve"> (from A unrounded)</t>
    </r>
  </si>
  <si>
    <r>
      <t>Total Predicted Emissions</t>
    </r>
    <r>
      <rPr>
        <vertAlign val="subscript"/>
        <sz val="10"/>
        <color theme="1"/>
        <rFont val="Calibri"/>
        <family val="2"/>
        <scheme val="minor"/>
      </rPr>
      <t xml:space="preserve"> (from Zy)</t>
    </r>
  </si>
  <si>
    <r>
      <t xml:space="preserve">A </t>
    </r>
    <r>
      <rPr>
        <vertAlign val="subscript"/>
        <sz val="10"/>
        <color theme="1"/>
        <rFont val="Calibri"/>
        <family val="2"/>
        <scheme val="minor"/>
      </rPr>
      <t>unrounded</t>
    </r>
  </si>
  <si>
    <r>
      <t>Z</t>
    </r>
    <r>
      <rPr>
        <vertAlign val="subscript"/>
        <sz val="10"/>
        <color theme="1"/>
        <rFont val="Calibri"/>
        <family val="2"/>
        <scheme val="minor"/>
      </rPr>
      <t>y</t>
    </r>
  </si>
  <si>
    <t>FF</t>
  </si>
  <si>
    <t>Predicted Total Water Consumption</t>
  </si>
  <si>
    <r>
      <t>w</t>
    </r>
    <r>
      <rPr>
        <vertAlign val="subscript"/>
        <sz val="10"/>
        <color theme="1"/>
        <rFont val="Calibri"/>
        <family val="2"/>
        <scheme val="minor"/>
      </rPr>
      <t>r,CDD=0</t>
    </r>
  </si>
  <si>
    <t>5 starCDD0 parameter calc</t>
  </si>
  <si>
    <r>
      <t>w</t>
    </r>
    <r>
      <rPr>
        <vertAlign val="subscript"/>
        <sz val="10"/>
        <color theme="1"/>
        <rFont val="Calibri"/>
        <family val="2"/>
        <scheme val="minor"/>
      </rPr>
      <t>5,CDD=0</t>
    </r>
  </si>
  <si>
    <t>Target max Water (kL/room)</t>
  </si>
  <si>
    <r>
      <t>R</t>
    </r>
    <r>
      <rPr>
        <vertAlign val="subscript"/>
        <sz val="10"/>
        <color theme="1"/>
        <rFont val="Calibri"/>
        <family val="2"/>
        <scheme val="minor"/>
      </rPr>
      <t xml:space="preserve"> (with recyc)</t>
    </r>
  </si>
  <si>
    <r>
      <t>R</t>
    </r>
    <r>
      <rPr>
        <vertAlign val="subscript"/>
        <sz val="10"/>
        <color theme="1"/>
        <rFont val="Calibri"/>
        <family val="2"/>
        <scheme val="minor"/>
      </rPr>
      <t xml:space="preserve"> (no recyc)</t>
    </r>
  </si>
  <si>
    <t>NABERS Energy and Water for Shopping Centres
Reverse Calculator</t>
  </si>
  <si>
    <t>The NABERS Energy and Water for Shopping Centres reverse calculator helps you calculate the maximum amounts of energy and water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 from 1 to 6 stars.</t>
  </si>
  <si>
    <t>Floor Configuration</t>
  </si>
  <si>
    <t>Single Storey</t>
  </si>
  <si>
    <t>Total Shopping Centre Area GLAR (m²)</t>
  </si>
  <si>
    <t>Central Serviced Shopping Centre Area (m²)</t>
  </si>
  <si>
    <t>Annual Number of Trading Days</t>
  </si>
  <si>
    <t>Weekly Hours of Service</t>
  </si>
  <si>
    <t>Number of Mechanically Ventilated Car Parking Spaces:</t>
  </si>
  <si>
    <t>Number of Naturally Ventilated or Open Air Car Parking Spaces:</t>
  </si>
  <si>
    <t>Number of Food Court Seats:</t>
  </si>
  <si>
    <t>Number of Cinema Theatrettes:</t>
  </si>
  <si>
    <t>Total Gymnasium Area GLAR (m²):</t>
  </si>
  <si>
    <t>Predicted Average Benchmarking Emissions for this Shopping Centre</t>
  </si>
  <si>
    <t>Reporting Emissions for this Shopping Centre - Scope 1, 2 and 3</t>
  </si>
  <si>
    <t>Reporting Emissions for this Shopping Centre - Scope 1 and 2</t>
  </si>
  <si>
    <t>Predicted Average Water Consumption for this Shopping Centre</t>
  </si>
  <si>
    <r>
      <t xml:space="preserve">Department of Planning, Industry and Environment
</t>
    </r>
    <r>
      <rPr>
        <sz val="8"/>
        <color indexed="21"/>
        <rFont val="Arial"/>
        <family val="2"/>
      </rPr>
      <t>4 Parramatta Square
Parramatta  NSW 2150</t>
    </r>
  </si>
  <si>
    <r>
      <t xml:space="preserve">T </t>
    </r>
    <r>
      <rPr>
        <sz val="8"/>
        <color indexed="21"/>
        <rFont val="Arial"/>
        <family val="2"/>
      </rPr>
      <t>(02) 9995 5000</t>
    </r>
    <r>
      <rPr>
        <b/>
        <sz val="8"/>
        <color indexed="21"/>
        <rFont val="Arial"/>
        <family val="2"/>
      </rPr>
      <t xml:space="preserve">
E</t>
    </r>
    <r>
      <rPr>
        <sz val="8"/>
        <color indexed="21"/>
        <rFont val="Arial"/>
        <family val="2"/>
      </rPr>
      <t xml:space="preserve"> nabers@environment.nsw.gov.au 
</t>
    </r>
    <r>
      <rPr>
        <b/>
        <sz val="8"/>
        <color indexed="21"/>
        <rFont val="Arial"/>
        <family val="2"/>
      </rPr>
      <t xml:space="preserve">nabers.gov.au </t>
    </r>
  </si>
  <si>
    <t>NABERS Energy and Water for Schools
Reverse Calculator</t>
  </si>
  <si>
    <t>The NABERS rating for Schools reverse calculator helps you calculate the maximum amount of energy and water a school campus can use to achieve a star rating that you specify. To ensure you achieve the rating, you should allow a factor of safety, and not design to the minimum figure for each star band. The output is the maximum amount of energy allowed to be used to achieve the rating you nominate.</t>
  </si>
  <si>
    <t>1. ENTER THE STAR RATING YOU WISH TO ACHIEVE</t>
    <phoneticPr fontId="37" type="noConversion"/>
  </si>
  <si>
    <t>2. ENTER THE RATING INFORMATION</t>
    <phoneticPr fontId="37" type="noConversion"/>
  </si>
  <si>
    <t>School Sector</t>
  </si>
  <si>
    <t>What is the remoteness area classification of the School?</t>
  </si>
  <si>
    <t xml:space="preserve">Site Area  (m²) </t>
  </si>
  <si>
    <t xml:space="preserve">Gross Floor Area  (m²) </t>
  </si>
  <si>
    <t>Number of FTE staff (Per Annum)</t>
  </si>
  <si>
    <t>Number of FTE ELC Students</t>
  </si>
  <si>
    <t>Number of FTE Primary Students</t>
  </si>
  <si>
    <t xml:space="preserve">Number of FTE Secondary Students </t>
  </si>
  <si>
    <t>Number of FTE Special Needs Students</t>
  </si>
  <si>
    <t>Presence of Swimming Pool?</t>
  </si>
  <si>
    <t xml:space="preserve">Swimming Pool Surface Area (m²) </t>
  </si>
  <si>
    <t>LPG</t>
  </si>
  <si>
    <t>RESULTS - REVERSE CALCULATOR</t>
  </si>
  <si>
    <t>Predicted Average Benchmarking Emissions for this School</t>
  </si>
  <si>
    <t>Reporting Emissions for this School - Scope 1, 2 and 3</t>
  </si>
  <si>
    <t>Max Scope 1,2&amp;3 at Target</t>
  </si>
  <si>
    <t>Reporting Emissions for this School - Scope 1 and 2</t>
  </si>
  <si>
    <t>Max Scope 1&amp;2 at Targe</t>
  </si>
  <si>
    <t>Electricity:</t>
  </si>
  <si>
    <t>kWh/year</t>
  </si>
  <si>
    <t>Gas:</t>
  </si>
  <si>
    <t>MJ/year</t>
  </si>
  <si>
    <t>LPG:</t>
  </si>
  <si>
    <t>L/year,</t>
  </si>
  <si>
    <t>Max LPG (L) at Target</t>
  </si>
  <si>
    <t>Diesel:</t>
  </si>
  <si>
    <t>L/year</t>
  </si>
  <si>
    <t>Predicted Average Water Consumption for this School</t>
  </si>
  <si>
    <t>FORWARD CALCULATOR FOR SCHOOL ABOVE</t>
  </si>
  <si>
    <t>LPG (L)</t>
  </si>
  <si>
    <t>BF (with GP)</t>
  </si>
  <si>
    <t>Actual/Predicted Emissions with GP</t>
  </si>
  <si>
    <t>BF (no GP)</t>
  </si>
  <si>
    <t>Actual/Predicted Emissions w/o GP</t>
  </si>
  <si>
    <t>Energy Star Decimal w/o GP</t>
  </si>
  <si>
    <t>Energy Star w/o GP</t>
  </si>
  <si>
    <t>BF (with recyc)</t>
  </si>
  <si>
    <t>Actual/Predicted Water with RW</t>
  </si>
  <si>
    <t>Water Star Decimal with RW</t>
  </si>
  <si>
    <t>Water Star with RW</t>
  </si>
  <si>
    <t>BF (no recyc)</t>
  </si>
  <si>
    <t>Actual/Predicted Water w/o RW</t>
  </si>
  <si>
    <t>Water Star Decimal w/o RW</t>
  </si>
  <si>
    <t>Water Star w/o RW</t>
  </si>
  <si>
    <t>School Info</t>
  </si>
  <si>
    <t>Current Calculator Benchmarking Emissions Factors</t>
  </si>
  <si>
    <t>Reporting Scope 1,2 &amp; 3 Emissions Factors</t>
  </si>
  <si>
    <t>School Postcode</t>
  </si>
  <si>
    <t>School Sector (Government/Catholic Systemic School/Independent)</t>
  </si>
  <si>
    <t>School Remote Area ( Major Cities, Inner Regional, Outer Regional, Remote, Very Remote)</t>
  </si>
  <si>
    <t>Number of FTE Special Needs/Education Students</t>
  </si>
  <si>
    <t>Presence of Swimming Pool</t>
  </si>
  <si>
    <t>LPG (%)</t>
  </si>
  <si>
    <t>GreenPower (%)</t>
  </si>
  <si>
    <t>Gas (MJ)</t>
    <phoneticPr fontId="9" type="noConversion"/>
  </si>
  <si>
    <t>State</t>
    <phoneticPr fontId="15" type="noConversion"/>
  </si>
  <si>
    <t>IRR</t>
  </si>
  <si>
    <t>Electricity
(kgCO2/kWh)</t>
  </si>
  <si>
    <t>Gas
(kgCO2/MJ)</t>
  </si>
  <si>
    <t>LPG
(kgCO2/MJ)</t>
  </si>
  <si>
    <t>Diesel
(kgCO2/L)</t>
  </si>
  <si>
    <t>LPG
(kgCO2/L)</t>
  </si>
  <si>
    <t xml:space="preserve">Electricity w.r.t Factors </t>
  </si>
  <si>
    <t xml:space="preserve">Gas w.r.t Factors </t>
  </si>
  <si>
    <t>LPG MJ/L</t>
  </si>
  <si>
    <t>SGELPG123</t>
  </si>
  <si>
    <t>SGELPG12</t>
  </si>
  <si>
    <t>Total Students</t>
  </si>
  <si>
    <t>Total Population</t>
  </si>
  <si>
    <t xml:space="preserve">Student density </t>
  </si>
  <si>
    <t>% ELC Students</t>
  </si>
  <si>
    <t xml:space="preserve">% Primary Students </t>
  </si>
  <si>
    <t>% Secondary Students</t>
  </si>
  <si>
    <t>% Special Needs Students</t>
  </si>
  <si>
    <t>School Type</t>
  </si>
  <si>
    <t>Student Density Correction</t>
  </si>
  <si>
    <t>School Climate Correction</t>
  </si>
  <si>
    <t>School Remote Area Correction</t>
  </si>
  <si>
    <t>Pool Correction</t>
  </si>
  <si>
    <t>School Sector Adjustment</t>
  </si>
  <si>
    <t>School Emission Correction</t>
  </si>
  <si>
    <t>Re-centre Correction</t>
  </si>
  <si>
    <t>Predicted Emissions Intensity</t>
  </si>
  <si>
    <t>Wate Total Population Correction</t>
  </si>
  <si>
    <t>Water Site Area Irrigation</t>
  </si>
  <si>
    <t>Water Remote Area Correction</t>
  </si>
  <si>
    <t>Water Swimming Pool Correction</t>
  </si>
  <si>
    <t>Water School Sector Correction</t>
  </si>
  <si>
    <t>Predicted GHG</t>
  </si>
  <si>
    <t>Target Max Normalised Emissions</t>
  </si>
  <si>
    <t>Target Max Total Energy Intensity</t>
  </si>
  <si>
    <t>Target Max LPG Consumption</t>
  </si>
  <si>
    <t>Predicted Water (kL)</t>
  </si>
  <si>
    <t>Target Max Normalised Water</t>
  </si>
  <si>
    <t>Target Max Total Water</t>
  </si>
  <si>
    <r>
      <t>Target Max Total Water Intensity (kL/m</t>
    </r>
    <r>
      <rPr>
        <b/>
        <vertAlign val="superscript"/>
        <sz val="10"/>
        <color theme="1"/>
        <rFont val="Calibri"/>
        <family val="2"/>
        <scheme val="minor"/>
      </rPr>
      <t>2</t>
    </r>
    <r>
      <rPr>
        <b/>
        <sz val="10"/>
        <color theme="1"/>
        <rFont val="Calibri"/>
        <family val="2"/>
        <scheme val="minor"/>
      </rPr>
      <t>)</t>
    </r>
  </si>
  <si>
    <t>6.0* Max LPG (L)</t>
  </si>
  <si>
    <t>5.5* Max LPG (L)</t>
  </si>
  <si>
    <t>5.0* Max LPG (L)</t>
  </si>
  <si>
    <t>4.5* Max LPG (L)</t>
  </si>
  <si>
    <t>4.0* Max LPG (L)</t>
  </si>
  <si>
    <t>3.5* Max LPG (L)</t>
  </si>
  <si>
    <t>3.0* Max LPG (L)</t>
  </si>
  <si>
    <t>2.5* Max LPG (L)</t>
  </si>
  <si>
    <t>2.0* Max LPG (L)</t>
  </si>
  <si>
    <t>1.5* Max LPG (L)</t>
  </si>
  <si>
    <t>1.0* Max LPG (L)</t>
  </si>
  <si>
    <t>0.0* Max LPG (L)</t>
  </si>
  <si>
    <t>FWD Gross Emissions with GP</t>
  </si>
  <si>
    <t>FWD Gross Emissions w/o GP</t>
  </si>
  <si>
    <t>FWD Energy Star Decimal with GP</t>
  </si>
  <si>
    <t>FWD Energy Star Decimal w/o GP</t>
  </si>
  <si>
    <t>FWD Energy Star with GP</t>
  </si>
  <si>
    <t>FWD Energy Star w/o GP</t>
  </si>
  <si>
    <t>FWD Water Consumption with RW</t>
  </si>
  <si>
    <t>FWD Water Consumption w/o RW</t>
  </si>
  <si>
    <t>FWD Water Star Decimal with RW</t>
  </si>
  <si>
    <t>FWD Water Star Decimal w/o RW</t>
  </si>
  <si>
    <t>FWD Water Star with RW</t>
  </si>
  <si>
    <t>FWD Water Star w/o RW</t>
  </si>
  <si>
    <t>School Remote Area</t>
  </si>
  <si>
    <t>Total Site Area</t>
  </si>
  <si>
    <t>Total GFA</t>
  </si>
  <si>
    <t>FTE Staff</t>
  </si>
  <si>
    <t>FTE ELC</t>
  </si>
  <si>
    <t>FTE Primary</t>
  </si>
  <si>
    <t>FTE Secondary</t>
  </si>
  <si>
    <t>FTE Special Needs</t>
  </si>
  <si>
    <t>Swimming Pool</t>
  </si>
  <si>
    <t>Pool Size</t>
  </si>
  <si>
    <t>Actual/Predicted Ratio</t>
  </si>
  <si>
    <r>
      <t>SGE</t>
    </r>
    <r>
      <rPr>
        <vertAlign val="subscript"/>
        <sz val="10"/>
        <color theme="1"/>
        <rFont val="Calibri"/>
        <family val="2"/>
        <scheme val="minor"/>
      </rPr>
      <t>l</t>
    </r>
  </si>
  <si>
    <r>
      <t>SGE</t>
    </r>
    <r>
      <rPr>
        <vertAlign val="subscript"/>
        <sz val="10"/>
        <color theme="1"/>
        <rFont val="Calibri"/>
        <family val="2"/>
        <scheme val="minor"/>
      </rPr>
      <t>lLitre</t>
    </r>
  </si>
  <si>
    <r>
      <t>SGEe</t>
    </r>
    <r>
      <rPr>
        <vertAlign val="subscript"/>
        <sz val="10"/>
        <color theme="1"/>
        <rFont val="Calibri"/>
        <family val="2"/>
        <scheme val="minor"/>
      </rPr>
      <t xml:space="preserve"> wrt NSW</t>
    </r>
  </si>
  <si>
    <r>
      <t>SGEg</t>
    </r>
    <r>
      <rPr>
        <vertAlign val="subscript"/>
        <sz val="10"/>
        <color theme="1"/>
        <rFont val="Calibri"/>
        <family val="2"/>
        <scheme val="minor"/>
      </rPr>
      <t xml:space="preserve"> wrt NSW</t>
    </r>
  </si>
  <si>
    <r>
      <t>CF</t>
    </r>
    <r>
      <rPr>
        <vertAlign val="subscript"/>
        <sz val="10"/>
        <color theme="1"/>
        <rFont val="Calibri"/>
        <family val="2"/>
        <scheme val="minor"/>
      </rPr>
      <t>lpg</t>
    </r>
  </si>
  <si>
    <r>
      <t>SGE</t>
    </r>
    <r>
      <rPr>
        <vertAlign val="subscript"/>
        <sz val="10"/>
        <color theme="1"/>
        <rFont val="Calibri"/>
        <family val="2"/>
        <scheme val="minor"/>
      </rPr>
      <t>l Scopes 1,2&amp;3</t>
    </r>
  </si>
  <si>
    <r>
      <t>SGE</t>
    </r>
    <r>
      <rPr>
        <vertAlign val="subscript"/>
        <sz val="10"/>
        <color theme="1"/>
        <rFont val="Calibri"/>
        <family val="2"/>
        <scheme val="minor"/>
      </rPr>
      <t>l Scopes 1&amp;2</t>
    </r>
  </si>
  <si>
    <t>Students/ GFA m²</t>
  </si>
  <si>
    <t>ELC/Total Students</t>
  </si>
  <si>
    <t>Primary/Total Students</t>
  </si>
  <si>
    <t>Secondary/Total Students</t>
  </si>
  <si>
    <t>Special Needs/Total Students</t>
  </si>
  <si>
    <t>C_Student Density</t>
  </si>
  <si>
    <t>C_Climate</t>
  </si>
  <si>
    <t>C_Remote Area</t>
  </si>
  <si>
    <t>C_Pool</t>
  </si>
  <si>
    <t>C_School Sector</t>
  </si>
  <si>
    <t>C_Emissions</t>
  </si>
  <si>
    <t>C_Re-centre</t>
  </si>
  <si>
    <t>Predicted Emissions per GFA</t>
  </si>
  <si>
    <t>C_Total Population_Water</t>
  </si>
  <si>
    <t>C_Site Area/Irrigation_Water</t>
  </si>
  <si>
    <t>C_Remote Area_Water</t>
  </si>
  <si>
    <t>C_Swimming Pool_Water</t>
  </si>
  <si>
    <t>C_School Sector_Water</t>
  </si>
  <si>
    <t>Predicted Emissions Ratio</t>
  </si>
  <si>
    <t>Target Max LPG (L)</t>
  </si>
  <si>
    <t>Target Max Water Ratio</t>
  </si>
  <si>
    <t>Actual Emissions with GP</t>
  </si>
  <si>
    <t>Actual Emissions w/o GP</t>
  </si>
  <si>
    <t>Actual Water with RW</t>
  </si>
  <si>
    <t>Actual Water w/o RW</t>
  </si>
  <si>
    <t>Independent School</t>
  </si>
  <si>
    <t>Major Cities</t>
  </si>
  <si>
    <t>Catholic Systemic School</t>
  </si>
  <si>
    <t>Very Remote</t>
  </si>
  <si>
    <t>Shopping Centre Info</t>
  </si>
  <si>
    <t>Reverse Bulk Star Band Benchmark Factors</t>
  </si>
  <si>
    <t>Is the shopping centre single or multi storey</t>
  </si>
  <si>
    <t>Total Gross Lettable Area Retail (GLAR) of the shopping centre</t>
  </si>
  <si>
    <t>Total centrally serviced area of the shopping centre</t>
  </si>
  <si>
    <t>Total gymnasium area of the shopping centre</t>
  </si>
  <si>
    <t>Total centrally serviced gymnasium area of the shopping centre (for small centres)</t>
  </si>
  <si>
    <t>Annual number of trading days</t>
  </si>
  <si>
    <t>Number of hours per week the shopping centre operated</t>
  </si>
  <si>
    <t>Number of food court seats within the shopping centre</t>
  </si>
  <si>
    <t>Number of cinema theatrettes</t>
  </si>
  <si>
    <t>Small Shopping Centre (True/False) based on GLAR</t>
    <phoneticPr fontId="21" type="noConversion"/>
  </si>
  <si>
    <t>Floors</t>
    <phoneticPr fontId="21" type="noConversion"/>
  </si>
  <si>
    <t>er</t>
    <phoneticPr fontId="21" type="noConversion"/>
  </si>
  <si>
    <t>ersmall</t>
  </si>
  <si>
    <t>23.45*Floors</t>
  </si>
  <si>
    <t>0.101*CDD*GLARserviced*HS/GLAR*60</t>
  </si>
  <si>
    <t>0.000438*GLAR*TD/357.2</t>
  </si>
  <si>
    <t>944*CPmv/GLAR</t>
  </si>
  <si>
    <t>204*CPnv/GLAR</t>
  </si>
  <si>
    <t>0.105*HS/60.25</t>
  </si>
  <si>
    <t>35.54*TD/359.56</t>
  </si>
  <si>
    <t>64.08*Floors</t>
  </si>
  <si>
    <t>7.90*GLARserviced/GLAR</t>
  </si>
  <si>
    <t>150.52*CPmv/GLAR</t>
  </si>
  <si>
    <t>100.35*CPnv/GLAR</t>
  </si>
  <si>
    <t>420.87*FCS/GLAR</t>
  </si>
  <si>
    <t>1868.87*GLARservicedGym/GLAR</t>
  </si>
  <si>
    <t>Predicted Water Consumption</t>
  </si>
  <si>
    <t>Predicted Water Consumption (Small Centre)</t>
  </si>
  <si>
    <t>0.000314*CDD</t>
  </si>
  <si>
    <t>5.93*GLARgym</t>
  </si>
  <si>
    <t>18.9*FCS</t>
  </si>
  <si>
    <t>814*Theatrettes</t>
  </si>
  <si>
    <t>0.0000148*TD</t>
  </si>
  <si>
    <t>0.01082*HS</t>
  </si>
  <si>
    <t>0.0000399*CDD</t>
  </si>
  <si>
    <t>0.000019*GLAR</t>
  </si>
  <si>
    <t>5.42*GLARgym</t>
  </si>
  <si>
    <t>6.23*FCS</t>
  </si>
  <si>
    <t>Tota Predicted emissions (ersmall*GLAR)</t>
  </si>
  <si>
    <t>Tota Predicted water (wr*GLAR)</t>
  </si>
  <si>
    <t>Tota Predicted water (wrsmall*GLAR)</t>
  </si>
  <si>
    <t>Stories</t>
  </si>
  <si>
    <t>GLAR</t>
  </si>
  <si>
    <r>
      <t>GLAR</t>
    </r>
    <r>
      <rPr>
        <b/>
        <vertAlign val="subscript"/>
        <sz val="10"/>
        <color theme="1"/>
        <rFont val="Calibri"/>
        <family val="2"/>
        <scheme val="minor"/>
      </rPr>
      <t>serviced</t>
    </r>
  </si>
  <si>
    <r>
      <t>GLAR</t>
    </r>
    <r>
      <rPr>
        <b/>
        <vertAlign val="subscript"/>
        <sz val="10"/>
        <color theme="1"/>
        <rFont val="Calibri"/>
        <family val="2"/>
        <scheme val="minor"/>
      </rPr>
      <t>gym</t>
    </r>
  </si>
  <si>
    <r>
      <t>GLAR</t>
    </r>
    <r>
      <rPr>
        <b/>
        <vertAlign val="subscript"/>
        <sz val="10"/>
        <color theme="1"/>
        <rFont val="Calibri"/>
        <family val="2"/>
        <scheme val="minor"/>
      </rPr>
      <t>servicedGym</t>
    </r>
  </si>
  <si>
    <t>TD</t>
  </si>
  <si>
    <t>HS</t>
  </si>
  <si>
    <t>FCS</t>
  </si>
  <si>
    <t>Theatrettes</t>
  </si>
  <si>
    <t>Small</t>
  </si>
  <si>
    <t>Floors</t>
  </si>
  <si>
    <r>
      <t>G</t>
    </r>
    <r>
      <rPr>
        <vertAlign val="subscript"/>
        <sz val="10"/>
        <color theme="1"/>
        <rFont val="Calibri"/>
        <family val="2"/>
        <scheme val="minor"/>
      </rPr>
      <t>gas</t>
    </r>
  </si>
  <si>
    <r>
      <t>G</t>
    </r>
    <r>
      <rPr>
        <vertAlign val="subscript"/>
        <sz val="10"/>
        <color theme="1"/>
        <rFont val="Calibri"/>
        <family val="2"/>
        <scheme val="minor"/>
      </rPr>
      <t>general</t>
    </r>
  </si>
  <si>
    <r>
      <t>er</t>
    </r>
    <r>
      <rPr>
        <vertAlign val="subscript"/>
        <sz val="10"/>
        <color theme="1"/>
        <rFont val="Calibri"/>
        <family val="2"/>
        <scheme val="minor"/>
      </rPr>
      <t>small</t>
    </r>
  </si>
  <si>
    <t>0.101*CDD*GLARserviced*HS/(GLAR*60)</t>
  </si>
  <si>
    <r>
      <t>w</t>
    </r>
    <r>
      <rPr>
        <vertAlign val="subscript"/>
        <sz val="10"/>
        <color theme="1"/>
        <rFont val="Calibri"/>
        <family val="2"/>
        <scheme val="minor"/>
      </rPr>
      <t>rsmall</t>
    </r>
  </si>
  <si>
    <t>Predicted Emissions Small</t>
  </si>
  <si>
    <t>Predicted Water Small</t>
  </si>
  <si>
    <r>
      <t xml:space="preserve">e </t>
    </r>
    <r>
      <rPr>
        <vertAlign val="subscript"/>
        <sz val="10"/>
        <color theme="1"/>
        <rFont val="Calibri"/>
        <family val="2"/>
        <scheme val="minor"/>
      </rPr>
      <t>(no GP)</t>
    </r>
  </si>
  <si>
    <r>
      <t>e-BF</t>
    </r>
    <r>
      <rPr>
        <vertAlign val="subscript"/>
        <sz val="10"/>
        <color theme="1"/>
        <rFont val="Calibri"/>
        <family val="2"/>
        <scheme val="minor"/>
      </rPr>
      <t xml:space="preserve"> (with GP)</t>
    </r>
  </si>
  <si>
    <r>
      <t>e-BF</t>
    </r>
    <r>
      <rPr>
        <vertAlign val="subscript"/>
        <sz val="10"/>
        <color theme="1"/>
        <rFont val="Calibri"/>
        <family val="2"/>
        <scheme val="minor"/>
      </rPr>
      <t xml:space="preserve"> (no GP)</t>
    </r>
  </si>
  <si>
    <r>
      <t>w-BF</t>
    </r>
    <r>
      <rPr>
        <vertAlign val="subscript"/>
        <sz val="10"/>
        <color theme="1"/>
        <rFont val="Calibri"/>
        <family val="2"/>
        <scheme val="minor"/>
      </rPr>
      <t xml:space="preserve"> (with recyc)</t>
    </r>
  </si>
  <si>
    <r>
      <t>w-BF</t>
    </r>
    <r>
      <rPr>
        <vertAlign val="subscript"/>
        <sz val="10"/>
        <color theme="1"/>
        <rFont val="Calibri"/>
        <family val="2"/>
        <scheme val="minor"/>
      </rPr>
      <t xml:space="preserve"> (no recyc)</t>
    </r>
  </si>
  <si>
    <t>Multi Storey</t>
  </si>
  <si>
    <t xml:space="preserve">Specific Greenhouse Coefficients (SGEx ) </t>
  </si>
  <si>
    <t>Specific Greenhouse Coefficients (SGEx ) used in the rating calculation are based on the National Greenhouse Account Factors from yr X published by The Department of Climate Change and Energy Efficiency.</t>
  </si>
  <si>
    <t>State Specific GHG adjustment</t>
  </si>
  <si>
    <t>Zy</t>
  </si>
  <si>
    <t>SGEx (2020) - Current</t>
  </si>
  <si>
    <t>Hotel</t>
  </si>
  <si>
    <t>Apartment</t>
  </si>
  <si>
    <t>Benchmark Conversion Zy = (SGEgas,y*FF + SGEelec,y*(1-FF)/(SGEg,baseline*FF+SGEelec,baseline*(1-FF)</t>
  </si>
  <si>
    <t>Electricity
(SGEe)</t>
  </si>
  <si>
    <t>Gas
(SGEg)</t>
  </si>
  <si>
    <t>Diesel
(SGEd)</t>
  </si>
  <si>
    <t>Coal
(SGEc)</t>
  </si>
  <si>
    <t>LPG
(SGEl)</t>
  </si>
  <si>
    <t>Zy = A</t>
  </si>
  <si>
    <t>equivalent to DeltaQ report and NABERS Equipped</t>
  </si>
  <si>
    <t>(kgCO2/kWh)</t>
  </si>
  <si>
    <t>(kgCO2/MJ)</t>
  </si>
  <si>
    <t>(kgCO2/Litre)</t>
  </si>
  <si>
    <t>(kgCO2/kg)</t>
  </si>
  <si>
    <t>FF for hotels</t>
  </si>
  <si>
    <t>SGEe</t>
  </si>
  <si>
    <t>SGEg</t>
  </si>
  <si>
    <t>SGEd</t>
  </si>
  <si>
    <t>SGEc</t>
  </si>
  <si>
    <t>SGEl</t>
  </si>
  <si>
    <t>Elec/MJ</t>
  </si>
  <si>
    <t>Gas/MJ</t>
  </si>
  <si>
    <t>ACT</t>
  </si>
  <si>
    <t>NSW</t>
  </si>
  <si>
    <t>NT</t>
  </si>
  <si>
    <t>QLD</t>
  </si>
  <si>
    <t>SA</t>
  </si>
  <si>
    <t>TAS</t>
  </si>
  <si>
    <t>VIC</t>
  </si>
  <si>
    <t>WA</t>
  </si>
  <si>
    <t>SGEx (2020) - Office</t>
  </si>
  <si>
    <t>SGEckWh</t>
  </si>
  <si>
    <t>Fuel</t>
  </si>
  <si>
    <t>Reference</t>
  </si>
  <si>
    <t>Conversion Factors</t>
  </si>
  <si>
    <t>Units</t>
  </si>
  <si>
    <t>Cfelec</t>
  </si>
  <si>
    <t>MJ/kWh</t>
  </si>
  <si>
    <t>Coal</t>
  </si>
  <si>
    <t>Cfcoal</t>
  </si>
  <si>
    <t>MJ/kg</t>
  </si>
  <si>
    <t>CFDiesel</t>
  </si>
  <si>
    <t>MJ/L</t>
  </si>
  <si>
    <t>CFLPG</t>
  </si>
  <si>
    <t>SGEx (2020) - Current for Apartments (all states use NSW factors)</t>
  </si>
  <si>
    <t>Original Diesel value</t>
  </si>
  <si>
    <t>SGEx (2020) - Current for Data Centres</t>
  </si>
  <si>
    <t>Fixed - not to be updated</t>
  </si>
  <si>
    <t>SGEx (2018) - Apartment</t>
  </si>
  <si>
    <t>Emission Factor for star rating calculation (Based on EA methodology report 2018)</t>
  </si>
  <si>
    <t>SGEe2018</t>
  </si>
  <si>
    <t>SGEg2018</t>
  </si>
  <si>
    <t>SGEd2018</t>
  </si>
  <si>
    <t>SGEc2018</t>
  </si>
  <si>
    <t>NT</t>
    <phoneticPr fontId="33" type="noConversion"/>
  </si>
  <si>
    <t>QLD</t>
    <phoneticPr fontId="33" type="noConversion"/>
  </si>
  <si>
    <t>SA</t>
    <phoneticPr fontId="33" type="noConversion"/>
  </si>
  <si>
    <t>TAS</t>
    <phoneticPr fontId="33" type="noConversion"/>
  </si>
  <si>
    <t>VIC</t>
    <phoneticPr fontId="33" type="noConversion"/>
  </si>
  <si>
    <t>WA</t>
    <phoneticPr fontId="33" type="noConversion"/>
  </si>
  <si>
    <t>Superceded SGEx (2016) - Hospital</t>
  </si>
  <si>
    <t>Emission Factor for star rating calculation (Based on EA methodology report 2016)</t>
  </si>
  <si>
    <t>LPG
(SGEc)</t>
  </si>
  <si>
    <t>(kgCO2/L)</t>
  </si>
  <si>
    <t>SGEe2016</t>
  </si>
  <si>
    <t>SGEg2016</t>
  </si>
  <si>
    <t>SGEd2016</t>
  </si>
  <si>
    <t>SGEl2016</t>
  </si>
  <si>
    <t>Superceded EF for analysis, SGEx (2016) - Hospitals</t>
  </si>
  <si>
    <t>All</t>
  </si>
  <si>
    <t>SGEx (2022) - Hospital</t>
  </si>
  <si>
    <t>EF for analysis</t>
  </si>
  <si>
    <t>SGEe2022</t>
  </si>
  <si>
    <t>SGEg2022</t>
  </si>
  <si>
    <t>SGEd2022</t>
  </si>
  <si>
    <t>SGEl2022</t>
  </si>
  <si>
    <t>SGEx (2012) - Shopping Centre</t>
  </si>
  <si>
    <t>SGEe2012</t>
  </si>
  <si>
    <t>SGEg2012</t>
  </si>
  <si>
    <t>SGEd2012</t>
  </si>
  <si>
    <t>SGEc2012</t>
  </si>
  <si>
    <t>NT</t>
    <phoneticPr fontId="34" type="noConversion"/>
  </si>
  <si>
    <t>QLD</t>
    <phoneticPr fontId="34" type="noConversion"/>
  </si>
  <si>
    <t>SA</t>
    <phoneticPr fontId="34" type="noConversion"/>
  </si>
  <si>
    <t>TAS</t>
    <phoneticPr fontId="34" type="noConversion"/>
  </si>
  <si>
    <t>VIC</t>
    <phoneticPr fontId="34" type="noConversion"/>
  </si>
  <si>
    <t>WA</t>
    <phoneticPr fontId="34" type="noConversion"/>
  </si>
  <si>
    <t>SGEx (2008) - Hotel</t>
  </si>
  <si>
    <t>SGEe2008</t>
  </si>
  <si>
    <t>SGEg2008</t>
  </si>
  <si>
    <t>SGEd2008</t>
  </si>
  <si>
    <t>SGEc2008</t>
  </si>
  <si>
    <t>Office emissions</t>
  </si>
  <si>
    <r>
      <t>Specific Greenhouse Coefficients (SGE</t>
    </r>
    <r>
      <rPr>
        <b/>
        <vertAlign val="subscript"/>
        <sz val="10"/>
        <rFont val="Calibri"/>
        <family val="2"/>
        <scheme val="minor"/>
      </rPr>
      <t>x</t>
    </r>
    <r>
      <rPr>
        <b/>
        <sz val="10"/>
        <rFont val="Calibri"/>
        <family val="2"/>
        <scheme val="minor"/>
      </rPr>
      <t xml:space="preserve"> ) used in the rating calculation for calculating 'default greenhouse gas emissions (GE</t>
    </r>
    <r>
      <rPr>
        <b/>
        <vertAlign val="subscript"/>
        <sz val="10"/>
        <rFont val="Calibri"/>
        <family val="2"/>
        <scheme val="minor"/>
      </rPr>
      <t>x</t>
    </r>
    <r>
      <rPr>
        <b/>
        <sz val="10"/>
        <rFont val="Calibri"/>
        <family val="2"/>
        <scheme val="minor"/>
      </rPr>
      <t>) and the 'climate correction factor (GE</t>
    </r>
    <r>
      <rPr>
        <b/>
        <vertAlign val="subscript"/>
        <sz val="10"/>
        <rFont val="Calibri"/>
        <family val="2"/>
        <scheme val="minor"/>
      </rPr>
      <t>corr climate</t>
    </r>
    <r>
      <rPr>
        <b/>
        <sz val="10"/>
        <rFont val="Calibri"/>
        <family val="2"/>
        <scheme val="minor"/>
      </rPr>
      <t>)</t>
    </r>
  </si>
  <si>
    <t xml:space="preserve"> unit = kgCo2/kWh</t>
  </si>
  <si>
    <t>SGEx (1998) - Office</t>
  </si>
  <si>
    <t>Oil</t>
  </si>
  <si>
    <t xml:space="preserve">SGE values </t>
  </si>
  <si>
    <t>SGEx (2020) - RACRL</t>
  </si>
  <si>
    <t>unit = kgCo2/kWh</t>
    <phoneticPr fontId="0" type="noConversion"/>
  </si>
  <si>
    <t>Electricity Factors (scaled w.r.t NSW/ACT)</t>
  </si>
  <si>
    <t>Gas Factors (scaled w.r.t NSW/ACT)</t>
  </si>
  <si>
    <t>LPG</t>
    <phoneticPr fontId="0" type="noConversion"/>
  </si>
  <si>
    <t>Oil</t>
    <phoneticPr fontId="0" type="noConversion"/>
  </si>
  <si>
    <t>LPG kGCO2/L</t>
  </si>
  <si>
    <t>SGEx (2022) - Warehouses and Cold Stores</t>
  </si>
  <si>
    <t>WRT to ACT/NSW</t>
  </si>
  <si>
    <t>Elec</t>
  </si>
  <si>
    <t xml:space="preserve">Coal </t>
  </si>
  <si>
    <t xml:space="preserve">Oil </t>
  </si>
  <si>
    <t>SGEe wrt NSW</t>
  </si>
  <si>
    <t>SGEg wrt NSW</t>
  </si>
  <si>
    <t>SGEl wrt NSW</t>
  </si>
  <si>
    <t>SGEc wrt NSW</t>
  </si>
  <si>
    <t>SGEd wrt NSW</t>
  </si>
  <si>
    <t>SGEx (2022) - School</t>
  </si>
  <si>
    <t>Electricity Factors</t>
  </si>
  <si>
    <t xml:space="preserve">Gas Factors </t>
  </si>
  <si>
    <t>Postcode and Climate Zone reference for calculating climate correction factors</t>
  </si>
  <si>
    <t>Climate Zones by id</t>
  </si>
  <si>
    <t>Climate_id</t>
  </si>
  <si>
    <t>Name</t>
  </si>
  <si>
    <t>State_id</t>
  </si>
  <si>
    <t>Hdd</t>
  </si>
  <si>
    <t>Cdd</t>
  </si>
  <si>
    <t>Abbreviation</t>
  </si>
  <si>
    <t>ACT</t>
    <phoneticPr fontId="15" type="noConversion"/>
  </si>
  <si>
    <t>Kimberley</t>
  </si>
  <si>
    <t>Western Australia</t>
  </si>
  <si>
    <t>Pilbara</t>
  </si>
  <si>
    <t>Victoria</t>
  </si>
  <si>
    <t>Gascoyne</t>
  </si>
  <si>
    <t>Tasmania</t>
  </si>
  <si>
    <t>Interior</t>
  </si>
  <si>
    <t>South Australia</t>
  </si>
  <si>
    <t>Central West</t>
  </si>
  <si>
    <t>Queensland</t>
  </si>
  <si>
    <t>Central Wheat Belt</t>
  </si>
  <si>
    <t>New South Wales</t>
  </si>
  <si>
    <t>Lower West</t>
  </si>
  <si>
    <t>Australian Capital Territory</t>
  </si>
  <si>
    <t>Great Southern</t>
  </si>
  <si>
    <t>Northern Territory</t>
  </si>
  <si>
    <t>South West</t>
  </si>
  <si>
    <t>Southern Coastal</t>
  </si>
  <si>
    <t>Goldfields</t>
  </si>
  <si>
    <t>Eucla</t>
  </si>
  <si>
    <t>Mallee</t>
  </si>
  <si>
    <t>Wimmera</t>
  </si>
  <si>
    <t>Western District</t>
  </si>
  <si>
    <t>Northern Country</t>
  </si>
  <si>
    <t>North Central</t>
  </si>
  <si>
    <t>Central</t>
  </si>
  <si>
    <t>Northeast</t>
  </si>
  <si>
    <t>West and South Gippsland</t>
  </si>
  <si>
    <t>East Gippsland</t>
  </si>
  <si>
    <t>Northwest Coast and King Island</t>
  </si>
  <si>
    <t>West &amp; South Coast &amp; Highlands</t>
  </si>
  <si>
    <t>Central Plateau and Upper Derwent Valley</t>
  </si>
  <si>
    <t>Central North and Midlands</t>
  </si>
  <si>
    <t>South East, Huon &amp; Channel and Lower Derwent Valley</t>
  </si>
  <si>
    <t>North East and Flinders Island</t>
  </si>
  <si>
    <t>East Coast</t>
  </si>
  <si>
    <t>Western Agricultural</t>
  </si>
  <si>
    <t>Northwest Pastoral</t>
  </si>
  <si>
    <t>Northeast Pastoral</t>
  </si>
  <si>
    <t>Northern Agricultural</t>
  </si>
  <si>
    <t>Murray</t>
  </si>
  <si>
    <t>Southeast</t>
  </si>
  <si>
    <t>Peninsula</t>
  </si>
  <si>
    <t>Gulf Country</t>
  </si>
  <si>
    <t>Northern Goldfields and Upper Flinders</t>
  </si>
  <si>
    <t>Northern Tropical Coast and Tablelands</t>
  </si>
  <si>
    <t>Herbert and Lower Burdekin</t>
  </si>
  <si>
    <t>Central Coast - Whitsundays</t>
  </si>
  <si>
    <t>Capricornia</t>
  </si>
  <si>
    <t>Central Highlands - Coalfields</t>
  </si>
  <si>
    <t>Northwest</t>
  </si>
  <si>
    <t>Channel Country</t>
  </si>
  <si>
    <t>Maranoa and Warrego</t>
  </si>
  <si>
    <t>Darling Downs and Granite Belt</t>
  </si>
  <si>
    <t>Wide Bay and Burnett</t>
  </si>
  <si>
    <t>Southeast Coast</t>
  </si>
  <si>
    <t>Upper Western</t>
  </si>
  <si>
    <t>Lower Western</t>
  </si>
  <si>
    <t>Riverina</t>
  </si>
  <si>
    <t>North West Slopes and Plains</t>
  </si>
  <si>
    <t>Central West Slopes and Plains</t>
  </si>
  <si>
    <t>South West Slopes</t>
  </si>
  <si>
    <t>Northern Rivers</t>
  </si>
  <si>
    <t>Northern Tablelands</t>
  </si>
  <si>
    <t>Mid-North Coast</t>
  </si>
  <si>
    <t>Hunter</t>
  </si>
  <si>
    <t>Central Tablelands</t>
  </si>
  <si>
    <t>Metropolitan</t>
  </si>
  <si>
    <t>Southern Tablelands</t>
  </si>
  <si>
    <t>South Coast &amp; Illawarra</t>
  </si>
  <si>
    <t>Darwin - Daly</t>
  </si>
  <si>
    <t>Arnhem</t>
  </si>
  <si>
    <t>Roper - McArthur</t>
  </si>
  <si>
    <t>Barkly</t>
  </si>
  <si>
    <t>Alice Springs</t>
  </si>
  <si>
    <t>NABERS Energy and Water for Hospitals
Reverse Calculator</t>
  </si>
  <si>
    <t>The NABERS Energy and Water for Hospitals reverse calculator helps you calculate the maximum amounts of energy and water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 from 1 to 6 stars.</t>
  </si>
  <si>
    <t>Hospital Postcode</t>
  </si>
  <si>
    <t>Peer Group</t>
  </si>
  <si>
    <t>Occupied Bed Days</t>
  </si>
  <si>
    <t>Separations</t>
  </si>
  <si>
    <t>Commonwealth Funded Aged Care Beds</t>
  </si>
  <si>
    <t>Commonwealth Funded Aged Care Bed Days (if available)</t>
  </si>
  <si>
    <t>LPG (MJ)</t>
  </si>
  <si>
    <t>Predicted Average Benchmarking Emissions for this Hospital</t>
  </si>
  <si>
    <t>Reporting Emissions for this Hospital - Scope 1, 2 and 3</t>
  </si>
  <si>
    <t>Reporting Emissions for this Hospital - Scope 1 and 2</t>
  </si>
  <si>
    <t>Actual Scope 1&amp;2 at Target</t>
  </si>
  <si>
    <t>kgCO2-e/OBD.year</t>
  </si>
  <si>
    <t>MJ/OBD.year</t>
  </si>
  <si>
    <t>Target Max LPG</t>
  </si>
  <si>
    <t>Predicted Average Water Consumption for this Hospital</t>
  </si>
  <si>
    <t>kL/OBD.year</t>
  </si>
  <si>
    <t>BF (no GP</t>
  </si>
  <si>
    <t>Hospital Info</t>
  </si>
  <si>
    <t>Reverse Energy Calculations</t>
  </si>
  <si>
    <t>Reverse Water Calculations</t>
  </si>
  <si>
    <t>Water Bulk Reverse Results</t>
  </si>
  <si>
    <t>Commonwealth Funded Aged Care Bed Days</t>
  </si>
  <si>
    <t>Total ODB</t>
  </si>
  <si>
    <t>Group, by Total OBD</t>
  </si>
  <si>
    <t>SGEelec 2022 (kgCO2/kWh)</t>
  </si>
  <si>
    <t>SGEgas 2022 (kgCO2/MJ)</t>
  </si>
  <si>
    <t>SGELPG 2022 (kgCO2/Litre)</t>
  </si>
  <si>
    <t>SGEdiesel 2022 (kgCO2/Litre)</t>
  </si>
  <si>
    <t>SGEelec kgCO2/MJ 2022</t>
  </si>
  <si>
    <t>SGElpg kgCO2/MJ 2022</t>
  </si>
  <si>
    <t>SGEdiesel kgCO2/MJ 2022</t>
  </si>
  <si>
    <t>Effective GHG Coefficient (kgCO2/MJ) 2022</t>
  </si>
  <si>
    <t>Predicted Emissions (Cnational 2016)</t>
  </si>
  <si>
    <t>Target Max CO2 2016</t>
  </si>
  <si>
    <t>Target Max Energy (MJ) 2016</t>
  </si>
  <si>
    <t>Target Max Elec (kWh) 2016</t>
  </si>
  <si>
    <t>Target Max Gas (MJ) 2016</t>
  </si>
  <si>
    <t>Target Max LPG (L) 2016</t>
  </si>
  <si>
    <t>Target Max Diesel (L) 2016</t>
  </si>
  <si>
    <t>6.0* Max Benchmarking Factor Energy</t>
  </si>
  <si>
    <t>5.5* Max Benchmarking Factor Energy</t>
  </si>
  <si>
    <t>5.0* Max Benchmarking Factor Energy</t>
  </si>
  <si>
    <t>4.5* Max Benchmarking Factor Energy</t>
  </si>
  <si>
    <t>4.0* Max Benchmarking Factor Energy</t>
  </si>
  <si>
    <t>3.5* Max Benchmarking Factor Energy</t>
  </si>
  <si>
    <t>3.0* Max Benchmarking Factor Energy</t>
  </si>
  <si>
    <t>2.5* Max Benchmarking Factor Energy</t>
  </si>
  <si>
    <t>2.0* Max Benchmarking Factor Energy</t>
  </si>
  <si>
    <t>1.5* Max Benchmarking Factor Energy</t>
  </si>
  <si>
    <t>1.0* Max Benchmarking Factor Energy</t>
  </si>
  <si>
    <t>0.0* Max Benchmarking Factor Energy</t>
  </si>
  <si>
    <t>6.0* Max Emissions (kgCO2)</t>
  </si>
  <si>
    <t>5.5* Max Emissions (kgCO2)</t>
  </si>
  <si>
    <t>5.0* Max Emissions (kgCO2)</t>
  </si>
  <si>
    <t>4.5* Max Emissions (kgCO2)</t>
  </si>
  <si>
    <t>4.0* Max Emissions (kgCO2)</t>
  </si>
  <si>
    <t>3.5* Max Emissions (kgCO2)</t>
  </si>
  <si>
    <t>3.0* Max Emissions (kgCO2)</t>
  </si>
  <si>
    <t>2.5* Max Emissions (kgCO2)</t>
  </si>
  <si>
    <t>2.0* Max Emissions (kgCO2)</t>
  </si>
  <si>
    <t>1.5* Max Emissions (kgCO2)</t>
  </si>
  <si>
    <t>1.0* Max Emissions (kgCO2)</t>
  </si>
  <si>
    <t>0.0* Max Emissions (kgCO2)</t>
  </si>
  <si>
    <t>6.0* Max Benchmarking Factor Water</t>
  </si>
  <si>
    <t>5.5* Max Benchmarking Factor Water</t>
  </si>
  <si>
    <t>5.0* Max Benchmarking Factor Water</t>
  </si>
  <si>
    <t>4.5* Max Benchmarking Factor Water</t>
  </si>
  <si>
    <t>4.0* Max Benchmarking Factor Water</t>
  </si>
  <si>
    <t>3.5* Max Benchmarking Factor Water</t>
  </si>
  <si>
    <t>3.0* Max Benchmarking Factor Water</t>
  </si>
  <si>
    <t>2.5* Max Benchmarking Factor Water</t>
  </si>
  <si>
    <t>2.0* Max Benchmarking Factor Water</t>
  </si>
  <si>
    <t>1.5* Max Benchmarking Factor Water</t>
  </si>
  <si>
    <t>1.0* Max Benchmarking Factor Water</t>
  </si>
  <si>
    <t>0.0* Max Benchmarking Factor Water</t>
  </si>
  <si>
    <t>Energy Star with GP 2016</t>
  </si>
  <si>
    <t>Energy Star Decimal with GP 2016</t>
  </si>
  <si>
    <t>Energy Star no GP 2016</t>
  </si>
  <si>
    <t>Energy Star Decimal no GP 2016</t>
  </si>
  <si>
    <t>Benchmarking Factor with GreenPower 2016</t>
  </si>
  <si>
    <t>Benchmarking Factor no GP 2016</t>
  </si>
  <si>
    <t>OBD</t>
  </si>
  <si>
    <t>Seps</t>
  </si>
  <si>
    <t>CFACB</t>
  </si>
  <si>
    <t>CFACBDays</t>
  </si>
  <si>
    <t>Total OBD</t>
  </si>
  <si>
    <t>Group</t>
  </si>
  <si>
    <r>
      <t>SGE</t>
    </r>
    <r>
      <rPr>
        <b/>
        <vertAlign val="subscript"/>
        <sz val="10"/>
        <color theme="1"/>
        <rFont val="Calibri"/>
        <family val="2"/>
        <scheme val="minor"/>
      </rPr>
      <t>e2022</t>
    </r>
  </si>
  <si>
    <r>
      <t>SGE</t>
    </r>
    <r>
      <rPr>
        <b/>
        <vertAlign val="subscript"/>
        <sz val="10"/>
        <color theme="1"/>
        <rFont val="Calibri"/>
        <family val="2"/>
        <scheme val="minor"/>
      </rPr>
      <t>g2022</t>
    </r>
  </si>
  <si>
    <r>
      <t>SGEL</t>
    </r>
    <r>
      <rPr>
        <b/>
        <vertAlign val="subscript"/>
        <sz val="10"/>
        <color theme="1"/>
        <rFont val="Calibri"/>
        <family val="2"/>
        <scheme val="minor"/>
      </rPr>
      <t>2022</t>
    </r>
  </si>
  <si>
    <r>
      <t>SGE</t>
    </r>
    <r>
      <rPr>
        <b/>
        <vertAlign val="subscript"/>
        <sz val="10"/>
        <color theme="1"/>
        <rFont val="Calibri"/>
        <family val="2"/>
        <scheme val="minor"/>
      </rPr>
      <t>d2022</t>
    </r>
  </si>
  <si>
    <r>
      <t>CF</t>
    </r>
    <r>
      <rPr>
        <vertAlign val="subscript"/>
        <sz val="10"/>
        <color theme="1"/>
        <rFont val="Calibri"/>
        <family val="2"/>
        <scheme val="minor"/>
      </rPr>
      <t>LPG</t>
    </r>
  </si>
  <si>
    <r>
      <t>SGE</t>
    </r>
    <r>
      <rPr>
        <vertAlign val="subscript"/>
        <sz val="10"/>
        <color theme="1"/>
        <rFont val="Calibri"/>
        <family val="2"/>
        <scheme val="minor"/>
      </rPr>
      <t>LMJ</t>
    </r>
  </si>
  <si>
    <r>
      <t>Emission</t>
    </r>
    <r>
      <rPr>
        <vertAlign val="subscript"/>
        <sz val="10"/>
        <color theme="1"/>
        <rFont val="Calibri"/>
        <family val="2"/>
        <scheme val="minor"/>
      </rPr>
      <t>TL</t>
    </r>
  </si>
  <si>
    <r>
      <t>Energy C</t>
    </r>
    <r>
      <rPr>
        <vertAlign val="subscript"/>
        <sz val="10"/>
        <color theme="1"/>
        <rFont val="Calibri"/>
        <family val="2"/>
        <scheme val="minor"/>
      </rPr>
      <t>seps</t>
    </r>
  </si>
  <si>
    <r>
      <t>Energy C</t>
    </r>
    <r>
      <rPr>
        <vertAlign val="subscript"/>
        <sz val="10"/>
        <color theme="1"/>
        <rFont val="Calibri"/>
        <family val="2"/>
        <scheme val="minor"/>
      </rPr>
      <t>CDD</t>
    </r>
  </si>
  <si>
    <r>
      <t>Energy C</t>
    </r>
    <r>
      <rPr>
        <vertAlign val="subscript"/>
        <sz val="10"/>
        <color theme="1"/>
        <rFont val="Calibri"/>
        <family val="2"/>
        <scheme val="minor"/>
      </rPr>
      <t>peer</t>
    </r>
  </si>
  <si>
    <r>
      <t>C</t>
    </r>
    <r>
      <rPr>
        <vertAlign val="subscript"/>
        <sz val="10"/>
        <color theme="1"/>
        <rFont val="Calibri"/>
        <family val="2"/>
        <scheme val="minor"/>
      </rPr>
      <t>National_2016</t>
    </r>
  </si>
  <si>
    <r>
      <t>C</t>
    </r>
    <r>
      <rPr>
        <vertAlign val="subscript"/>
        <sz val="10"/>
        <color theme="1"/>
        <rFont val="Calibri"/>
        <family val="2"/>
        <scheme val="minor"/>
      </rPr>
      <t>State</t>
    </r>
  </si>
  <si>
    <r>
      <t>C</t>
    </r>
    <r>
      <rPr>
        <vertAlign val="subscript"/>
        <sz val="10"/>
        <color theme="1"/>
        <rFont val="Calibri"/>
        <family val="2"/>
        <scheme val="minor"/>
      </rPr>
      <t>Centering</t>
    </r>
  </si>
  <si>
    <r>
      <t>Water Consumption</t>
    </r>
    <r>
      <rPr>
        <vertAlign val="subscript"/>
        <sz val="10"/>
        <color theme="1"/>
        <rFont val="Calibri"/>
        <family val="2"/>
        <scheme val="minor"/>
      </rPr>
      <t>TL</t>
    </r>
  </si>
  <si>
    <r>
      <t>Water C</t>
    </r>
    <r>
      <rPr>
        <vertAlign val="subscript"/>
        <sz val="10"/>
        <color theme="1"/>
        <rFont val="Calibri"/>
        <family val="2"/>
        <scheme val="minor"/>
      </rPr>
      <t>seps</t>
    </r>
  </si>
  <si>
    <r>
      <t>Water C</t>
    </r>
    <r>
      <rPr>
        <vertAlign val="subscript"/>
        <sz val="10"/>
        <color theme="1"/>
        <rFont val="Calibri"/>
        <family val="2"/>
        <scheme val="minor"/>
      </rPr>
      <t>CDD</t>
    </r>
  </si>
  <si>
    <r>
      <t>Water C</t>
    </r>
    <r>
      <rPr>
        <vertAlign val="subscript"/>
        <sz val="10"/>
        <color theme="1"/>
        <rFont val="Calibri"/>
        <family val="2"/>
        <scheme val="minor"/>
      </rPr>
      <t>peer</t>
    </r>
  </si>
  <si>
    <t>Target Max CO2 Intensity</t>
  </si>
  <si>
    <t>Target Max Water Inensity</t>
  </si>
  <si>
    <t>6.0* Max BF Energy</t>
  </si>
  <si>
    <t>5.5* Max BF Energy</t>
  </si>
  <si>
    <t>5.0* Max BF Energy</t>
  </si>
  <si>
    <t>4.5* Max BF Energy</t>
  </si>
  <si>
    <t>4.0* Max BF Energy</t>
  </si>
  <si>
    <t>3.5* Max BF Energy</t>
  </si>
  <si>
    <t>3.0* Max BF Energy</t>
  </si>
  <si>
    <t>2.5* Max BF Energy</t>
  </si>
  <si>
    <t>2.0* Max BF Energy</t>
  </si>
  <si>
    <t>1.5* Max BF Energy</t>
  </si>
  <si>
    <t>1.0* Max BF Energy</t>
  </si>
  <si>
    <t>0.0* Max BF Energy</t>
  </si>
  <si>
    <t>6.0* Max BF Water</t>
  </si>
  <si>
    <t>5.5* Max BF Water</t>
  </si>
  <si>
    <t>5.0* Max BF Water</t>
  </si>
  <si>
    <t>4.5* Max BF Water</t>
  </si>
  <si>
    <t>4.0* Max BF Water</t>
  </si>
  <si>
    <t>3.5* Max BF Water</t>
  </si>
  <si>
    <t>3.0* Max BF Water</t>
  </si>
  <si>
    <t>2.5* Max BF Water</t>
  </si>
  <si>
    <t>2.0* Max BF  Water</t>
  </si>
  <si>
    <t>1.5* Max BF  Water</t>
  </si>
  <si>
    <t>1.0* Max BF  Water</t>
  </si>
  <si>
    <t>0.0* Max BF  Water</t>
  </si>
  <si>
    <t>Very small hospitals</t>
  </si>
  <si>
    <t>Mixed subacute and non-acute hospitals</t>
  </si>
  <si>
    <t>NABERS Energy and Water for Residential Aged Care
Reverse Calculator</t>
  </si>
  <si>
    <t>The NABERS Energy and Water for Residential Aged Care reverse calculator helps you calculate the maximum amounts of energy and water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 from 1 to 6 stars.</t>
  </si>
  <si>
    <t>Updated on 23 Sep 2013 with NGA Factor released in July 2013</t>
  </si>
  <si>
    <t>Presence of Onsite Heated Pool(s)</t>
  </si>
  <si>
    <t>Heated Pool - Surface Area (m²)</t>
  </si>
  <si>
    <t>Weekly Meals Cooked Onsite (Non-RAC Residents)</t>
  </si>
  <si>
    <t>Predicted Average Benchmarking Emissions for this RACRL Facility</t>
  </si>
  <si>
    <t>Reporting Emissions for this RACRL Facility - Scope 1, 2 and 3</t>
  </si>
  <si>
    <t>Reporting Emissions for this RACRL Facility - Scope 1 and 2</t>
  </si>
  <si>
    <t>Target Max LPG (at 25.7 MJ/L)</t>
  </si>
  <si>
    <t>MJ per annum</t>
  </si>
  <si>
    <t>Max LPG (MJ) at Target</t>
  </si>
  <si>
    <t>Predicted Average Water Consumption for this RACRL Facility</t>
  </si>
  <si>
    <t>Normalised Consumption (with recyc)</t>
  </si>
  <si>
    <t>Normalised Consumption (no recyc)</t>
  </si>
  <si>
    <t>Effective GHG</t>
  </si>
  <si>
    <t>Site Area (m²)</t>
  </si>
  <si>
    <t>Occupied Bed Days (OBD)</t>
  </si>
  <si>
    <t>Total Number of Dwellings (e.g. Townhouses, Villas, Centrally Serviced Apartments etc ...)</t>
  </si>
  <si>
    <t>Total Number of Centrally Serviced Apartments</t>
  </si>
  <si>
    <t>Presence of Onsite Unheated Pool(s)</t>
  </si>
  <si>
    <t>Unheated Pool - Surface Area (m²)</t>
  </si>
  <si>
    <t>Presence of Heavy Laundry</t>
  </si>
  <si>
    <t>Weekly Meals Cooked Onsite (Residents)</t>
  </si>
  <si>
    <t xml:space="preserve">Weekly Meals Cooked Onsite (Non-RAC Residents) </t>
  </si>
  <si>
    <t>SGELPG 2020 (kgCO2/L)</t>
  </si>
  <si>
    <t>SGElpg kgCO2/MJ</t>
  </si>
  <si>
    <t>RAC HDD &amp; HL</t>
  </si>
  <si>
    <t>HDD Term</t>
  </si>
  <si>
    <t>RAC Heavy Laundry Term</t>
  </si>
  <si>
    <t>RAC Heated Pool Term</t>
  </si>
  <si>
    <t>RAC Non-Resident Meals Term</t>
  </si>
  <si>
    <t>Combined RL Terms</t>
  </si>
  <si>
    <t>RL Heated Pool Term</t>
  </si>
  <si>
    <t>RL Dwellings Term</t>
  </si>
  <si>
    <t>RL Site Area Term</t>
  </si>
  <si>
    <t>RL HDD Term</t>
  </si>
  <si>
    <t>RL Unheated Pool Term</t>
  </si>
  <si>
    <t>RL Total Meals Term</t>
  </si>
  <si>
    <t>RL Serviced Apartments Term</t>
  </si>
  <si>
    <t>RAC Combined term</t>
  </si>
  <si>
    <t>RAC CDD Term</t>
  </si>
  <si>
    <t>RL Dwellings Term (other)</t>
  </si>
  <si>
    <t>RL Site Area*IRR Term</t>
  </si>
  <si>
    <t>RL Site Area*IRR Term (other)</t>
  </si>
  <si>
    <t>Tota Predicted water (wr*Rooms)</t>
  </si>
  <si>
    <t>Site Area</t>
  </si>
  <si>
    <t>Dwellings</t>
  </si>
  <si>
    <t>Serviced Apartments</t>
  </si>
  <si>
    <t>Heated Pool</t>
  </si>
  <si>
    <t>Unheated Pool</t>
  </si>
  <si>
    <t>Unheated Pool Area</t>
  </si>
  <si>
    <t>Heavy Laundry</t>
  </si>
  <si>
    <r>
      <t>Meals</t>
    </r>
    <r>
      <rPr>
        <b/>
        <vertAlign val="subscript"/>
        <sz val="10"/>
        <color theme="1"/>
        <rFont val="Calibri"/>
        <family val="2"/>
        <scheme val="minor"/>
      </rPr>
      <t>Resident</t>
    </r>
  </si>
  <si>
    <r>
      <t>Meals</t>
    </r>
    <r>
      <rPr>
        <b/>
        <vertAlign val="subscript"/>
        <sz val="10"/>
        <color theme="1"/>
        <rFont val="Calibri"/>
        <family val="2"/>
        <scheme val="minor"/>
      </rPr>
      <t>NonResident</t>
    </r>
  </si>
  <si>
    <t>SGElMJ</t>
  </si>
  <si>
    <r>
      <t>B</t>
    </r>
    <r>
      <rPr>
        <vertAlign val="subscript"/>
        <sz val="10"/>
        <color theme="1"/>
        <rFont val="Calibri"/>
        <family val="2"/>
        <scheme val="minor"/>
      </rPr>
      <t>eadj</t>
    </r>
  </si>
  <si>
    <r>
      <t>Be</t>
    </r>
    <r>
      <rPr>
        <vertAlign val="subscript"/>
        <sz val="10"/>
        <color theme="1"/>
        <rFont val="Calibri"/>
        <family val="2"/>
        <scheme val="minor"/>
      </rPr>
      <t>ori</t>
    </r>
    <r>
      <rPr>
        <sz val="10"/>
        <color theme="1"/>
        <rFont val="Calibri"/>
        <family val="2"/>
        <scheme val="minor"/>
      </rPr>
      <t>g</t>
    </r>
  </si>
  <si>
    <t>State SGE adjustment RAC</t>
  </si>
  <si>
    <t>State SGE adjustment RL</t>
  </si>
  <si>
    <t>State SGE adjustment CL</t>
  </si>
  <si>
    <t>Beadj RAC</t>
  </si>
  <si>
    <t>Beorig RAC</t>
  </si>
  <si>
    <t>Beadj RL</t>
  </si>
  <si>
    <t>Beorig RL</t>
  </si>
  <si>
    <t>Beadj CL</t>
  </si>
  <si>
    <t>Beorig CL</t>
  </si>
  <si>
    <t>(16.061,0.00018*HDD+2.216*HL)*OBD</t>
  </si>
  <si>
    <t>0.0018*HDD</t>
  </si>
  <si>
    <t>2.216*HL</t>
  </si>
  <si>
    <t>1500*(Poolheated-1.7)</t>
  </si>
  <si>
    <t>2*52*MealsNRWeekly</t>
  </si>
  <si>
    <t>(1500Poolheated + 232.2Dwellings)*(0.000008Site Area + 0.1811)*(0.0009HDD+0.474)</t>
  </si>
  <si>
    <t>1500*Poolheated</t>
  </si>
  <si>
    <t>232.2*Dwellings</t>
  </si>
  <si>
    <t>0.000008*Site Area + 0.1811</t>
  </si>
  <si>
    <t>0.0009*HDD+0.474</t>
  </si>
  <si>
    <t>960*Poolunheated</t>
  </si>
  <si>
    <t>2*52*Mealsweekly</t>
  </si>
  <si>
    <t>3333.3*Serviced Apartments</t>
  </si>
  <si>
    <r>
      <t>B</t>
    </r>
    <r>
      <rPr>
        <vertAlign val="subscript"/>
        <sz val="10"/>
        <color theme="1"/>
        <rFont val="Calibri"/>
        <family val="2"/>
        <scheme val="minor"/>
      </rPr>
      <t>w</t>
    </r>
  </si>
  <si>
    <r>
      <t>B</t>
    </r>
    <r>
      <rPr>
        <vertAlign val="subscript"/>
        <sz val="10"/>
        <color theme="1"/>
        <rFont val="Calibri"/>
        <family val="2"/>
        <scheme val="minor"/>
      </rPr>
      <t>w RAC</t>
    </r>
  </si>
  <si>
    <r>
      <t>B</t>
    </r>
    <r>
      <rPr>
        <vertAlign val="subscript"/>
        <sz val="10"/>
        <color theme="1"/>
        <rFont val="Calibri"/>
        <family val="2"/>
        <scheme val="minor"/>
      </rPr>
      <t>w RL</t>
    </r>
  </si>
  <si>
    <r>
      <t>B</t>
    </r>
    <r>
      <rPr>
        <vertAlign val="subscript"/>
        <sz val="10"/>
        <color theme="1"/>
        <rFont val="Calibri"/>
        <family val="2"/>
        <scheme val="minor"/>
      </rPr>
      <t>w CL</t>
    </r>
  </si>
  <si>
    <t>(0.2307+ 0.0001*CDD+0.0529*HL) * ODB</t>
  </si>
  <si>
    <t>0.0001*CDD</t>
  </si>
  <si>
    <t>0.0529*HL</t>
  </si>
  <si>
    <t>2.132*MealsNR</t>
  </si>
  <si>
    <t>100.028*Dwellings</t>
  </si>
  <si>
    <t>54.355*Dwellings</t>
  </si>
  <si>
    <t>0.0003*SiteArea*IRR</t>
  </si>
  <si>
    <t>0.0001*SiteArea*IRR</t>
  </si>
  <si>
    <t>2.132*MealsWeekly</t>
  </si>
  <si>
    <t>10*Poolheated-287</t>
  </si>
  <si>
    <t>Target Max LPG (MJ)</t>
  </si>
  <si>
    <t>Co-Located Facility</t>
  </si>
  <si>
    <t>Retirement Living</t>
  </si>
  <si>
    <t>NABERS Energy for Warehouse and Cold Stores
Reverse Calculator</t>
  </si>
  <si>
    <t>The NABERS Energy for Warehouse and Cold Stores reverse calculator helps you calculate the maximum amounts of energy a building can use to achieve a star rating that you specify. To ensure you achieve the rating, you should allow a factor of safety, and not design to the minimum figure for each star band. The outputs are the maximum amounts of energy and water allowed to be used to achieve the rating you nominate.
Note: the reverse calculator provides targets in 0.1 star increments, but NABERS only certifies 0.5 star increments from 1 to 6 stars.</t>
  </si>
  <si>
    <t>1. ENTER THE STAR RATING YOU WISH TO ACHIEVE</t>
  </si>
  <si>
    <t>2. ENTER THE WAREHOUSE AND COLD STORES INFORMATION</t>
  </si>
  <si>
    <t>Is Full Time Employees (FTE) or Annual Turnover Ratio (ATR) data available?</t>
  </si>
  <si>
    <t>Does the warehouse have a coldstore?</t>
  </si>
  <si>
    <t>Total Gross Lettable Area (GLA) of the warehouse site (m²)</t>
  </si>
  <si>
    <t>Total Conditioned GLA (m²)</t>
  </si>
  <si>
    <t>Total Non-Conditioned Ambient GLA (m²)</t>
  </si>
  <si>
    <t>Number of hours per week the warehouse operated</t>
  </si>
  <si>
    <t>Predicted Average Benchmarking Emissions for this Warehouse</t>
  </si>
  <si>
    <t>Reporting Emissions for this Warehouse - Scope 1, 2 and 3</t>
  </si>
  <si>
    <t>Reporting Emissions for this Warehouse - Scope 1 and 2</t>
  </si>
  <si>
    <t>Results are an indication only and cannot be promoted or published.</t>
  </si>
  <si>
    <t>WareHouse and Cold Stores</t>
  </si>
  <si>
    <t>STAR RATING</t>
  </si>
  <si>
    <t>Energy Star</t>
  </si>
  <si>
    <t>Warehouse Info</t>
  </si>
  <si>
    <t>Warehouse Operational Data (FTE, ATR or Both)</t>
  </si>
  <si>
    <t>Presence of Cold Stores</t>
  </si>
  <si>
    <t>Total Cool Room (0°C to 15°C) Volume (m³)</t>
  </si>
  <si>
    <t>Total Cold Room (-20°C to 0°C) Volume (m³)</t>
  </si>
  <si>
    <t>Number of Full Time Employees (FTE) workers per Annum</t>
  </si>
  <si>
    <t>Annual Turnover Ratio (ATR)</t>
  </si>
  <si>
    <t>SGELPG 2022 (kgCO2/MJ)</t>
  </si>
  <si>
    <t>SGEelec 2022 scaled w.r.t NSW (kgCO2/kWh)</t>
  </si>
  <si>
    <t>Conditioned (&gt;15°C) GLA  (m2) correction</t>
  </si>
  <si>
    <t>Non-conditioned GLA (m2) correction</t>
  </si>
  <si>
    <t>Standardized FTE</t>
  </si>
  <si>
    <t>Weekly Operating Hours correction</t>
  </si>
  <si>
    <t>Non-Refrigerated Standardized FTE correction</t>
  </si>
  <si>
    <t>Non-Refrigerated Annual Turnover Ratio correction</t>
  </si>
  <si>
    <t>Cold Room (-20°C to 0°C) Volume (m3) correction</t>
  </si>
  <si>
    <t>Cool Room (0°C to 15°C) Volume (m3) correction</t>
  </si>
  <si>
    <t>Refrigerated Standardized FTE correction</t>
  </si>
  <si>
    <t>Refrigerated Annual Turnover Ratio correction</t>
  </si>
  <si>
    <t>Non-Refrigerated Warehouse Correction</t>
  </si>
  <si>
    <t>Refrigerated Warehouse Correction</t>
  </si>
  <si>
    <t>Total Predicted Emissions (with FTE)</t>
  </si>
  <si>
    <t>Adjusted Total Predicted Emissions (with FTE)</t>
  </si>
  <si>
    <t>Total Predicted Emissions (with ATR)</t>
  </si>
  <si>
    <t>Adjusted Total Predicted Emissions (with ATR)</t>
  </si>
  <si>
    <t>6.0* Max Predicted Emissions Ratio</t>
  </si>
  <si>
    <t>5.5* Max Predicted Emissions Ratio</t>
  </si>
  <si>
    <t>5.0* Max Predicted Emissions Ratio</t>
  </si>
  <si>
    <t>4.5* Max Predicted Emissions Ratio</t>
  </si>
  <si>
    <t>4.0* Max Predicted Emissions Ratio</t>
  </si>
  <si>
    <t>3.5* Max Predicted Emissions Ratio</t>
  </si>
  <si>
    <t>3.0* Max Predicted Emissions Ratio</t>
  </si>
  <si>
    <t>2.5* Max Predicted Emissions Ratio</t>
  </si>
  <si>
    <t>2.0* Max Predicted Emissions Ratio</t>
  </si>
  <si>
    <t>1.5* Max Predicted Emissions Ratio</t>
  </si>
  <si>
    <t>1.0* Max Predicted Emissions Ratio</t>
  </si>
  <si>
    <t>0.0* Max Predicted Emissions Ratio</t>
  </si>
  <si>
    <t>FWD Energy Star</t>
  </si>
  <si>
    <t>FWD Energy Star Decimal</t>
  </si>
  <si>
    <t>FWD Gross Emissions</t>
  </si>
  <si>
    <t>FTRE of ATR</t>
  </si>
  <si>
    <t>Cold Store</t>
  </si>
  <si>
    <t>Total GLA</t>
  </si>
  <si>
    <t>Conditioned GLA</t>
  </si>
  <si>
    <t>Non-Conditioned GLA</t>
  </si>
  <si>
    <t>Cool Volume</t>
  </si>
  <si>
    <t>Cold Volume</t>
  </si>
  <si>
    <t>Hours</t>
  </si>
  <si>
    <t>FTE</t>
  </si>
  <si>
    <t>ATR</t>
  </si>
  <si>
    <t>45.928*CG</t>
  </si>
  <si>
    <t>22.349*NCG</t>
  </si>
  <si>
    <r>
      <t>FTE</t>
    </r>
    <r>
      <rPr>
        <vertAlign val="subscript"/>
        <sz val="10"/>
        <color theme="1"/>
        <rFont val="Calibri"/>
        <family val="2"/>
        <scheme val="minor"/>
      </rPr>
      <t>standardized</t>
    </r>
  </si>
  <si>
    <r>
      <t>C</t>
    </r>
    <r>
      <rPr>
        <vertAlign val="subscript"/>
        <sz val="10"/>
        <color theme="1"/>
        <rFont val="Calibri"/>
        <family val="2"/>
        <scheme val="minor"/>
      </rPr>
      <t>1</t>
    </r>
  </si>
  <si>
    <r>
      <t>C</t>
    </r>
    <r>
      <rPr>
        <vertAlign val="subscript"/>
        <sz val="10"/>
        <color theme="1"/>
        <rFont val="Calibri"/>
        <family val="2"/>
        <scheme val="minor"/>
      </rPr>
      <t>2</t>
    </r>
  </si>
  <si>
    <r>
      <t>K</t>
    </r>
    <r>
      <rPr>
        <vertAlign val="subscript"/>
        <sz val="10"/>
        <color theme="1"/>
        <rFont val="Calibri"/>
        <family val="2"/>
        <scheme val="minor"/>
      </rPr>
      <t>2</t>
    </r>
  </si>
  <si>
    <t>32.537*CDV</t>
  </si>
  <si>
    <t>24.854*CLV</t>
  </si>
  <si>
    <r>
      <t>C</t>
    </r>
    <r>
      <rPr>
        <vertAlign val="subscript"/>
        <sz val="10"/>
        <color theme="1"/>
        <rFont val="Calibri"/>
        <family val="2"/>
        <scheme val="minor"/>
      </rPr>
      <t>3</t>
    </r>
  </si>
  <si>
    <r>
      <t>K</t>
    </r>
    <r>
      <rPr>
        <vertAlign val="subscript"/>
        <sz val="10"/>
        <color theme="1"/>
        <rFont val="Calibri"/>
        <family val="2"/>
        <scheme val="minor"/>
      </rPr>
      <t>3</t>
    </r>
  </si>
  <si>
    <r>
      <t>(45.928CG+22.349NCG)C</t>
    </r>
    <r>
      <rPr>
        <vertAlign val="subscript"/>
        <sz val="10"/>
        <color theme="1"/>
        <rFont val="Calibri"/>
        <family val="2"/>
        <scheme val="minor"/>
      </rPr>
      <t>1</t>
    </r>
    <r>
      <rPr>
        <sz val="10"/>
        <color theme="1"/>
        <rFont val="Calibri"/>
        <family val="2"/>
        <scheme val="minor"/>
      </rPr>
      <t>C</t>
    </r>
    <r>
      <rPr>
        <vertAlign val="subscript"/>
        <sz val="10"/>
        <color theme="1"/>
        <rFont val="Calibri"/>
        <family val="2"/>
        <scheme val="minor"/>
      </rPr>
      <t>2</t>
    </r>
  </si>
  <si>
    <r>
      <t>(32.537CDV+24.854CLV)C</t>
    </r>
    <r>
      <rPr>
        <vertAlign val="subscript"/>
        <sz val="10"/>
        <color theme="1"/>
        <rFont val="Calibri"/>
        <family val="2"/>
        <scheme val="minor"/>
      </rPr>
      <t>3</t>
    </r>
  </si>
  <si>
    <r>
      <t>B</t>
    </r>
    <r>
      <rPr>
        <vertAlign val="subscript"/>
        <sz val="10"/>
        <color theme="1"/>
        <rFont val="Calibri"/>
        <family val="2"/>
        <scheme val="minor"/>
      </rPr>
      <t>ori1FTE</t>
    </r>
  </si>
  <si>
    <r>
      <t>B</t>
    </r>
    <r>
      <rPr>
        <vertAlign val="subscript"/>
        <sz val="10"/>
        <color theme="1"/>
        <rFont val="Calibri"/>
        <family val="2"/>
        <scheme val="minor"/>
      </rPr>
      <t>adjusted1FTE</t>
    </r>
  </si>
  <si>
    <r>
      <t>(45.928CG+22.349NCG)C</t>
    </r>
    <r>
      <rPr>
        <vertAlign val="subscript"/>
        <sz val="10"/>
        <color theme="1"/>
        <rFont val="Calibri"/>
        <family val="2"/>
        <scheme val="minor"/>
      </rPr>
      <t>1</t>
    </r>
    <r>
      <rPr>
        <sz val="10"/>
        <color theme="1"/>
        <rFont val="Calibri"/>
        <family val="2"/>
        <scheme val="minor"/>
      </rPr>
      <t>K</t>
    </r>
    <r>
      <rPr>
        <vertAlign val="subscript"/>
        <sz val="10"/>
        <color theme="1"/>
        <rFont val="Calibri"/>
        <family val="2"/>
        <scheme val="minor"/>
      </rPr>
      <t>2</t>
    </r>
  </si>
  <si>
    <r>
      <t>(32.537CDV+24.854CLV)K</t>
    </r>
    <r>
      <rPr>
        <vertAlign val="subscript"/>
        <sz val="10"/>
        <color theme="1"/>
        <rFont val="Calibri"/>
        <family val="2"/>
        <scheme val="minor"/>
      </rPr>
      <t>3</t>
    </r>
  </si>
  <si>
    <r>
      <t>B</t>
    </r>
    <r>
      <rPr>
        <vertAlign val="subscript"/>
        <sz val="10"/>
        <color theme="1"/>
        <rFont val="Calibri"/>
        <family val="2"/>
        <scheme val="minor"/>
      </rPr>
      <t>ori2ATR</t>
    </r>
  </si>
  <si>
    <r>
      <t>B</t>
    </r>
    <r>
      <rPr>
        <vertAlign val="subscript"/>
        <sz val="10"/>
        <color theme="1"/>
        <rFont val="Calibri"/>
        <family val="2"/>
        <scheme val="minor"/>
      </rPr>
      <t>adjusted2ATR</t>
    </r>
  </si>
  <si>
    <t>Energy Star Decimal</t>
  </si>
  <si>
    <t>Actual/Predicted Emissions</t>
  </si>
  <si>
    <t>Actual Emissions</t>
  </si>
  <si>
    <t>Common Tool Factors</t>
  </si>
  <si>
    <t>State Specific Adjustments</t>
  </si>
  <si>
    <t>GHG State Adjustment Factor</t>
  </si>
  <si>
    <t>Premise state</t>
  </si>
  <si>
    <t>Hotel Raw Zy</t>
  </si>
  <si>
    <t>Apartment Raw Zy</t>
  </si>
  <si>
    <t>Updated GHG factor, factor for Zy Benchmark conversion</t>
  </si>
  <si>
    <t>Tool</t>
  </si>
  <si>
    <t>Hotels</t>
  </si>
  <si>
    <t>Shopping Centres</t>
  </si>
  <si>
    <t>Direct approach</t>
  </si>
  <si>
    <t>Data Centres</t>
  </si>
  <si>
    <t>Hospitals</t>
  </si>
  <si>
    <t>Direct approach, Cnational factor updated</t>
  </si>
  <si>
    <t>Fuel Adjustment Factors</t>
  </si>
  <si>
    <t>From hospitals spreadsheet, but common.</t>
  </si>
  <si>
    <t>Conversion factors - used if data entered into public calculator or NORAS in different format</t>
  </si>
  <si>
    <t>1000 L = 1 kL</t>
  </si>
  <si>
    <t>1000 kg = 1 t</t>
  </si>
  <si>
    <t>1000 MJ = 1 GJ</t>
  </si>
  <si>
    <t>ELECTRICITY</t>
  </si>
  <si>
    <t>kWh=</t>
  </si>
  <si>
    <t>MJ=</t>
  </si>
  <si>
    <t>GJ</t>
  </si>
  <si>
    <t>GAS</t>
  </si>
  <si>
    <t>OIL</t>
  </si>
  <si>
    <t>L=</t>
  </si>
  <si>
    <t>kL</t>
  </si>
  <si>
    <t>COAL</t>
  </si>
  <si>
    <t>kg=</t>
  </si>
  <si>
    <t>t</t>
  </si>
  <si>
    <t>Apartment Co-efficients</t>
  </si>
  <si>
    <t>Description</t>
  </si>
  <si>
    <t>Coefficient</t>
  </si>
  <si>
    <t>Value</t>
  </si>
  <si>
    <t>Intercept</t>
  </si>
  <si>
    <t>Coefficient Total number of Apartments with Central AC</t>
  </si>
  <si>
    <r>
      <t>C</t>
    </r>
    <r>
      <rPr>
        <vertAlign val="subscript"/>
        <sz val="10"/>
        <color theme="1"/>
        <rFont val="Calibri"/>
        <family val="2"/>
        <scheme val="minor"/>
      </rPr>
      <t>CAC</t>
    </r>
  </si>
  <si>
    <t>Coefficient apartments with condenser water services</t>
  </si>
  <si>
    <r>
      <t>C</t>
    </r>
    <r>
      <rPr>
        <vertAlign val="subscript"/>
        <sz val="10"/>
        <color theme="1"/>
        <rFont val="Calibri"/>
        <family val="2"/>
        <scheme val="minor"/>
      </rPr>
      <t>CW</t>
    </r>
  </si>
  <si>
    <t>Coefficient apartments no AC serviced</t>
  </si>
  <si>
    <r>
      <t>C</t>
    </r>
    <r>
      <rPr>
        <vertAlign val="subscript"/>
        <sz val="10"/>
        <color theme="1"/>
        <rFont val="Calibri"/>
        <family val="2"/>
        <scheme val="minor"/>
      </rPr>
      <t>NCS</t>
    </r>
  </si>
  <si>
    <t>Coefficient lift serivces</t>
  </si>
  <si>
    <r>
      <t>C</t>
    </r>
    <r>
      <rPr>
        <vertAlign val="subscript"/>
        <sz val="10"/>
        <color theme="1"/>
        <rFont val="Calibri"/>
        <family val="2"/>
        <scheme val="minor"/>
      </rPr>
      <t>lift</t>
    </r>
  </si>
  <si>
    <t>Coeff Pool only</t>
  </si>
  <si>
    <r>
      <t>C</t>
    </r>
    <r>
      <rPr>
        <vertAlign val="subscript"/>
        <sz val="10"/>
        <color theme="1"/>
        <rFont val="Calibri"/>
        <family val="2"/>
        <scheme val="minor"/>
      </rPr>
      <t>pool_noheat</t>
    </r>
  </si>
  <si>
    <t>Coeff heated Pool</t>
  </si>
  <si>
    <r>
      <t>C</t>
    </r>
    <r>
      <rPr>
        <vertAlign val="subscript"/>
        <sz val="10"/>
        <color theme="1"/>
        <rFont val="Calibri"/>
        <family val="2"/>
        <scheme val="minor"/>
      </rPr>
      <t>pool</t>
    </r>
  </si>
  <si>
    <t>Coeff Gym</t>
  </si>
  <si>
    <r>
      <t>C</t>
    </r>
    <r>
      <rPr>
        <vertAlign val="subscript"/>
        <sz val="10"/>
        <color theme="1"/>
        <rFont val="Calibri"/>
        <family val="2"/>
        <scheme val="minor"/>
      </rPr>
      <t>gym</t>
    </r>
  </si>
  <si>
    <t>Coeff MVCP</t>
  </si>
  <si>
    <r>
      <t>C</t>
    </r>
    <r>
      <rPr>
        <vertAlign val="subscript"/>
        <sz val="10"/>
        <color theme="1"/>
        <rFont val="Calibri"/>
        <family val="2"/>
        <scheme val="minor"/>
      </rPr>
      <t>MVCP</t>
    </r>
  </si>
  <si>
    <t>Coeff NVCP (adjusted)</t>
  </si>
  <si>
    <r>
      <t>C</t>
    </r>
    <r>
      <rPr>
        <vertAlign val="subscript"/>
        <sz val="10"/>
        <color theme="1"/>
        <rFont val="Calibri"/>
        <family val="2"/>
        <scheme val="minor"/>
      </rPr>
      <t>NVCPadjusted</t>
    </r>
  </si>
  <si>
    <t>Coeff NVCP</t>
  </si>
  <si>
    <r>
      <t>C</t>
    </r>
    <r>
      <rPr>
        <vertAlign val="subscript"/>
        <sz val="10"/>
        <color theme="1"/>
        <rFont val="Calibri"/>
        <family val="2"/>
        <scheme val="minor"/>
      </rPr>
      <t>NVCP</t>
    </r>
  </si>
  <si>
    <t>Single Water Meter with Central Services Coefficient</t>
  </si>
  <si>
    <r>
      <t>C</t>
    </r>
    <r>
      <rPr>
        <vertAlign val="subscript"/>
        <sz val="10"/>
        <color theme="1"/>
        <rFont val="Calibri"/>
        <family val="2"/>
        <scheme val="minor"/>
      </rPr>
      <t>SWMAC</t>
    </r>
  </si>
  <si>
    <t>Single water meter no central services Coefficient</t>
  </si>
  <si>
    <r>
      <t>C</t>
    </r>
    <r>
      <rPr>
        <vertAlign val="subscript"/>
        <sz val="10"/>
        <color theme="1"/>
        <rFont val="Calibri"/>
        <family val="2"/>
        <scheme val="minor"/>
      </rPr>
      <t>SWMNoAC</t>
    </r>
  </si>
  <si>
    <t>Apt water meters, DHW, central services Coefficient</t>
  </si>
  <si>
    <r>
      <t>C</t>
    </r>
    <r>
      <rPr>
        <vertAlign val="subscript"/>
        <sz val="10"/>
        <color theme="1"/>
        <rFont val="Calibri"/>
        <family val="2"/>
        <scheme val="minor"/>
      </rPr>
      <t>AWMCACDHW</t>
    </r>
  </si>
  <si>
    <t>Apt water meters, DHW, no central services Coefficient</t>
  </si>
  <si>
    <r>
      <t>C</t>
    </r>
    <r>
      <rPr>
        <vertAlign val="subscript"/>
        <sz val="10"/>
        <color theme="1"/>
        <rFont val="Calibri"/>
        <family val="2"/>
        <scheme val="minor"/>
      </rPr>
      <t>APWNoACDHW</t>
    </r>
  </si>
  <si>
    <t>Apt water meters, no DHW, central services Coefficient</t>
  </si>
  <si>
    <r>
      <t>C</t>
    </r>
    <r>
      <rPr>
        <vertAlign val="subscript"/>
        <sz val="10"/>
        <color theme="1"/>
        <rFont val="Calibri"/>
        <family val="2"/>
        <scheme val="minor"/>
      </rPr>
      <t>AWMCACNoDHW</t>
    </r>
  </si>
  <si>
    <t xml:space="preserve">Apt water meters, no DHW, no central services Coefficient </t>
  </si>
  <si>
    <r>
      <t>C</t>
    </r>
    <r>
      <rPr>
        <vertAlign val="subscript"/>
        <sz val="10"/>
        <color theme="1"/>
        <rFont val="Calibri"/>
        <family val="2"/>
        <scheme val="minor"/>
      </rPr>
      <t>AWMNoACNoDHW</t>
    </r>
  </si>
  <si>
    <t>State_Specific_Adjustment</t>
  </si>
  <si>
    <t>Correction to benchmark factor</t>
  </si>
  <si>
    <t>Apartment_BF_Rating_Correction</t>
  </si>
  <si>
    <t>Data Centre Co-efficients</t>
  </si>
  <si>
    <t>Equation Coefficients</t>
  </si>
  <si>
    <t>Energy Ratings</t>
  </si>
  <si>
    <t>IT Workload Rating</t>
  </si>
  <si>
    <t>Processing GHz coefficient</t>
  </si>
  <si>
    <t>C_Processing</t>
  </si>
  <si>
    <t>Storage TB coefficient</t>
  </si>
  <si>
    <t>C_Storage</t>
  </si>
  <si>
    <t>IT Median Residual Correction</t>
  </si>
  <si>
    <t>C_IT_Median_Residual_Correction</t>
  </si>
  <si>
    <t>Infrastructure and Whole Facility Rating</t>
  </si>
  <si>
    <t>Median Emissions Index</t>
  </si>
  <si>
    <t>C_Infrastructure_Median_Emissions_Index</t>
  </si>
  <si>
    <t>Average sample CDD (15wb)</t>
  </si>
  <si>
    <t>C_Average_Sample_CDD</t>
  </si>
  <si>
    <t>% CRAC/chiller consumption increase per 1°C</t>
  </si>
  <si>
    <t>C_CRAC_Increase_Per_DEG</t>
  </si>
  <si>
    <t>Average CRAC/chiller coefficient of performance</t>
  </si>
  <si>
    <t>C_Ave_CRAC_Performance</t>
  </si>
  <si>
    <t>Consumption of heat rejection plant per kW heat rejected (kW/kW)</t>
  </si>
  <si>
    <t>C_Heat_Rejection_Plant_Per_Heat_Rejected</t>
  </si>
  <si>
    <t>Star Rating</t>
  </si>
  <si>
    <t>Median performance (middle of 3 star rating band)</t>
  </si>
  <si>
    <t>C_Median_Performance</t>
  </si>
  <si>
    <t>IT Workload rating band coefficient</t>
  </si>
  <si>
    <t>C_IT_Workload</t>
  </si>
  <si>
    <t>Infrastructure rating band coefficient</t>
  </si>
  <si>
    <t>C_Infrastructure</t>
  </si>
  <si>
    <t>Whole Facility rating band coefficient</t>
  </si>
  <si>
    <t>C_WholeFacility</t>
  </si>
  <si>
    <t>Reverse Star band Residual adjustment</t>
  </si>
  <si>
    <t>C_Reverse_Star_Band_Residual_Adjustment</t>
  </si>
  <si>
    <t>Forward Star band residual adjustment</t>
  </si>
  <si>
    <t>C_FWD_Star_Band_Residual_Adjustment</t>
  </si>
  <si>
    <t>Hospitals Adjustments</t>
  </si>
  <si>
    <t>Energy</t>
  </si>
  <si>
    <t>Tri-linear Fit</t>
  </si>
  <si>
    <t>a</t>
  </si>
  <si>
    <t>b (intercept)</t>
  </si>
  <si>
    <t>b</t>
  </si>
  <si>
    <t>Climate Correction</t>
  </si>
  <si>
    <t>Minor Hospital Correction Energy</t>
  </si>
  <si>
    <t>Correction</t>
  </si>
  <si>
    <t>Public rehabilitation hospital</t>
  </si>
  <si>
    <t>Children's hospitals</t>
  </si>
  <si>
    <t>Women's hospitals</t>
  </si>
  <si>
    <t>Cnational_2016</t>
  </si>
  <si>
    <t>Cnational_2020</t>
  </si>
  <si>
    <t>Cstate</t>
  </si>
  <si>
    <t>Ccentering</t>
  </si>
  <si>
    <t>NA</t>
  </si>
  <si>
    <t>Minor Hospital Correction Water</t>
  </si>
  <si>
    <t>Hotel Co-efficients</t>
  </si>
  <si>
    <t>Heating Coefficient</t>
  </si>
  <si>
    <t>C_E_HDD</t>
  </si>
  <si>
    <t>Full Serviced Laundry Coefficiency</t>
  </si>
  <si>
    <t>C_E_Nfsl</t>
  </si>
  <si>
    <t>Heated Pool Coefficient</t>
  </si>
  <si>
    <t>C_E_Pool</t>
  </si>
  <si>
    <t>Cooling Coefficient</t>
  </si>
  <si>
    <t>C_E_Cooling</t>
  </si>
  <si>
    <t>AAA Star rating coefficient</t>
  </si>
  <si>
    <t>C_E_AAA_Rating</t>
  </si>
  <si>
    <t>AAA Star rating offset</t>
  </si>
  <si>
    <t>C_E_Offset_AAA_Rating</t>
  </si>
  <si>
    <t>Function Room Seats coefficient</t>
  </si>
  <si>
    <t>C_E_Function_Seats</t>
  </si>
  <si>
    <t>Ggeneral elec SGE coefficient</t>
  </si>
  <si>
    <t>C_E_GGeneral_elec</t>
  </si>
  <si>
    <t>Median Residual</t>
  </si>
  <si>
    <t>C_E_Median_Rating</t>
  </si>
  <si>
    <t>C_E_Rating_Coefficient</t>
  </si>
  <si>
    <t>Median Residual above 5 stars</t>
  </si>
  <si>
    <t>C_E_Median_R_above_5_stars</t>
  </si>
  <si>
    <t>Coefficient above 5 stars</t>
  </si>
  <si>
    <t>C_E_Rating_Coefficient_above_5_stars</t>
  </si>
  <si>
    <t>Rating Residual Offset</t>
  </si>
  <si>
    <t>C_E_Residual_Rating_Offset</t>
  </si>
  <si>
    <t>Water Ratings</t>
  </si>
  <si>
    <t>Water offset</t>
  </si>
  <si>
    <t>C_W_Offset</t>
  </si>
  <si>
    <t>C_W_Nfsl</t>
  </si>
  <si>
    <t>C_W_AAA_Rating</t>
  </si>
  <si>
    <t>C_W_Offset_AAA_Rating</t>
  </si>
  <si>
    <t>C_W_Cooling</t>
  </si>
  <si>
    <t>C_W_Function_Seats</t>
  </si>
  <si>
    <t>5 Star CDD=0 coefficient</t>
  </si>
  <si>
    <t>C_W_5star_CDD0</t>
  </si>
  <si>
    <t>Residual Star band adjustment at 5 stars (for wr@5stars)</t>
  </si>
  <si>
    <t>C_W_5_star_ref</t>
  </si>
  <si>
    <t>Median Rating</t>
  </si>
  <si>
    <t>C_W_Median_Rating</t>
  </si>
  <si>
    <t>C_W_Rating_Coefficient</t>
  </si>
  <si>
    <t>Office Co-efficients</t>
  </si>
  <si>
    <t>2020 Coefficients</t>
    <phoneticPr fontId="15" type="noConversion"/>
  </si>
  <si>
    <t>Whole building</t>
  </si>
  <si>
    <t>Base building</t>
  </si>
  <si>
    <t>Whole building A</t>
  </si>
  <si>
    <t>Whole building B</t>
  </si>
  <si>
    <t>Base building A</t>
  </si>
  <si>
    <t>Base building B</t>
  </si>
  <si>
    <t>Tenancy A</t>
  </si>
  <si>
    <t>Tenancy B</t>
  </si>
  <si>
    <t>Office Energy Predicted Emissions Factors</t>
  </si>
  <si>
    <t>Geclimcorr Term1 using sgegas in kgCO2/kWh</t>
  </si>
  <si>
    <t>C_E_GE_1_SGEGas_kWh</t>
  </si>
  <si>
    <t>Geclimcorr Term1 using sgegas in kgCO2/MJ</t>
  </si>
  <si>
    <t>C_E_GE_1_SGEGas_MJ</t>
  </si>
  <si>
    <t>Geclimcorr Term2 - SGEelec factor</t>
  </si>
  <si>
    <t>C_E_GE_2_SGEElec</t>
  </si>
  <si>
    <t>Geclimcorr Term3 - SGEgas*HDD factor</t>
  </si>
  <si>
    <t>C_E_GE_3_HDD</t>
  </si>
  <si>
    <t>Geclimcorr Term4 - SGEelec*CDD factor</t>
  </si>
  <si>
    <t>C_E_GE_4_CDD</t>
  </si>
  <si>
    <t>Geclimcorr Term5 - multiplier</t>
  </si>
  <si>
    <t>C_E_GE_5_Coefficient</t>
  </si>
  <si>
    <t>Geclimcorr Term5 - CDD ave</t>
  </si>
  <si>
    <t>C_E_GE_5_CDD_Ave</t>
  </si>
  <si>
    <t>Geclimcorr Term5 - SGEelec factor</t>
  </si>
  <si>
    <t>C_E_GE_5_SGEelec</t>
  </si>
  <si>
    <t>Energy A beyond 5 stars</t>
  </si>
  <si>
    <t>C_E_A_beyond_5_stars</t>
  </si>
  <si>
    <t>=4000*[@SGEe]*(0.008-[@Dequip])</t>
  </si>
  <si>
    <t>Office Water M Predicted Consumption factors</t>
  </si>
  <si>
    <t>Low CDD coefficent</t>
  </si>
  <si>
    <t>C_W_Low_CDD_Coefficient</t>
  </si>
  <si>
    <t>Low CDD intercept</t>
  </si>
  <si>
    <t>C_W_Low_CDD_Intercept</t>
  </si>
  <si>
    <t>High CDD coeffecient</t>
  </si>
  <si>
    <t>C_W_High_CDD_coefficient</t>
  </si>
  <si>
    <t>High CDD intercept</t>
  </si>
  <si>
    <t>C_W_High_CDD_Intercept</t>
  </si>
  <si>
    <t>(0.64+0.0016(h-55)-w)/29</t>
  </si>
  <si>
    <t>Mstar factors</t>
  </si>
  <si>
    <t>Mstar intercept</t>
  </si>
  <si>
    <t>C_W_M_star_Intercept</t>
  </si>
  <si>
    <t>hrs coefficient</t>
  </si>
  <si>
    <t>C_W_M_star_Hrs_Coefficient</t>
  </si>
  <si>
    <t>C_W_Alpha_Star_Hrs_Coefficient</t>
  </si>
  <si>
    <t>C_W_Alpha_Star_Intercept</t>
  </si>
  <si>
    <t>hrs offset</t>
  </si>
  <si>
    <t>C_W_Hrs_Offset</t>
  </si>
  <si>
    <t>Hrs ratio</t>
  </si>
  <si>
    <t>C_W2_Hrs_Ratio</t>
  </si>
  <si>
    <t>w at 5 stars rating input</t>
  </si>
  <si>
    <t>C_W_R_at_5_stars</t>
  </si>
  <si>
    <t>originally</t>
  </si>
  <si>
    <t>Water R_star rating offset normally</t>
  </si>
  <si>
    <t>C_W_R_star_rating_offset</t>
  </si>
  <si>
    <t>but gives result 1 kL too high at 5 stars</t>
  </si>
  <si>
    <t>Water R_star rating offset at Target of 5 stars</t>
  </si>
  <si>
    <t>C_W_R_star_rating_offset_at_5_stars</t>
  </si>
  <si>
    <t>0.5 for &lt;5 stars, 0.49999 at 5 stars</t>
  </si>
  <si>
    <t>Water A beyond 5 stars</t>
  </si>
  <si>
    <t>C_W_A_beyond_5_stars</t>
  </si>
  <si>
    <t>RACRL Co-efficients</t>
  </si>
  <si>
    <t>RAC Intercept</t>
  </si>
  <si>
    <t>C_E_RAC_Intercept</t>
  </si>
  <si>
    <t>C_E_RAC_HDD</t>
  </si>
  <si>
    <t>C_E_Heavy_Laundry</t>
  </si>
  <si>
    <t>RAC Heated Pool Term - Coeff</t>
  </si>
  <si>
    <t>C_E_Heated_Pool</t>
  </si>
  <si>
    <t>RAC Heated Pool Term - Area adjustment</t>
  </si>
  <si>
    <t>C_E_Heated_Pool_Area_Adjustment</t>
  </si>
  <si>
    <t>RAC &amp; RL Total &amp; Non-Resident Meals Term</t>
  </si>
  <si>
    <t>C_E_Total_Meals</t>
  </si>
  <si>
    <t>RL Pool Term</t>
  </si>
  <si>
    <t>C_E_RL_Heated_Pool</t>
  </si>
  <si>
    <t>C_E_RL_Dwellings</t>
  </si>
  <si>
    <t>RL Site Area Term - Coeff</t>
  </si>
  <si>
    <t>C_E_RL_Site_Area</t>
  </si>
  <si>
    <t>RL Site Area Term - Intercept</t>
  </si>
  <si>
    <t>C_E_RL_Site_Area_Intercept</t>
  </si>
  <si>
    <t>RL HDD Term - Coeff</t>
  </si>
  <si>
    <t>C_E_RL_HDD</t>
  </si>
  <si>
    <t>RL HDD Term - Intercept</t>
  </si>
  <si>
    <t>C_E_RL_HDD_Intercept</t>
  </si>
  <si>
    <t>C_E_RL_Unheated_Pool</t>
  </si>
  <si>
    <t>C_E_RL_Serviced_Apartments</t>
  </si>
  <si>
    <t>State based correction, NSW Benchmark SGEelec</t>
  </si>
  <si>
    <t>C_E_Badj_SGEelec</t>
  </si>
  <si>
    <t>State based correction, NSW Benchmark SGEgas</t>
  </si>
  <si>
    <t>C_E_Badj_SGEgas</t>
  </si>
  <si>
    <t>RAC Combined term - RAC Intercept</t>
  </si>
  <si>
    <t>C_W_RAC_Intercept</t>
  </si>
  <si>
    <t>C_W_RAC_CDD</t>
  </si>
  <si>
    <t>C_W_RAC_Heavy_Laundry</t>
  </si>
  <si>
    <t>C_W_Meals</t>
  </si>
  <si>
    <t>C_W_RL_Dwellings</t>
  </si>
  <si>
    <t>C_W_RL_Site_Area_IRR</t>
  </si>
  <si>
    <t>RL Heated Pool Term - Coeff</t>
  </si>
  <si>
    <t>C_W_Heated_Pool</t>
  </si>
  <si>
    <t>RL Heated Pool Term - Intercept</t>
  </si>
  <si>
    <t>C_W_Heated_Pool_Area_Offset</t>
  </si>
  <si>
    <t>CL Dwellings Term</t>
  </si>
  <si>
    <t>C_W_CL_Dwellings</t>
  </si>
  <si>
    <t>CL Site Area*IRR Term</t>
  </si>
  <si>
    <t>C_W_CL_Site_Area_IRR</t>
  </si>
  <si>
    <t>Shopping Centre Co-efficients</t>
  </si>
  <si>
    <t>Large Centres</t>
  </si>
  <si>
    <t>Gas Coefficient</t>
  </si>
  <si>
    <t>C_Gas_Coeffecient</t>
  </si>
  <si>
    <t>General Intercept</t>
  </si>
  <si>
    <t>C_General_Intercept</t>
  </si>
  <si>
    <t>Floors Coefficient</t>
  </si>
  <si>
    <t>C_General_Floors</t>
  </si>
  <si>
    <t>CDD Coefficient</t>
  </si>
  <si>
    <t>C_General_CDD</t>
  </si>
  <si>
    <t>Average Hrs</t>
  </si>
  <si>
    <t>C_General_Hrs_Ave</t>
  </si>
  <si>
    <t>Trading Days Coefficient</t>
  </si>
  <si>
    <t>C_General_TD</t>
  </si>
  <si>
    <t>Average Trading Days</t>
  </si>
  <si>
    <t>C_General_TD_Ave</t>
  </si>
  <si>
    <t>Mech Ventillated Car Park Coefficient</t>
  </si>
  <si>
    <t>C_General_CP_Mech</t>
  </si>
  <si>
    <t>Naturally Ventillated Car Park Coefficient</t>
  </si>
  <si>
    <t>C_General_CP_Nat</t>
  </si>
  <si>
    <t>Small Centres</t>
  </si>
  <si>
    <t>C_Small_Intercept</t>
  </si>
  <si>
    <t>Hrs Coefficient</t>
  </si>
  <si>
    <t>C_Small_Hrs</t>
  </si>
  <si>
    <t>C_Small_Hrs_Ave</t>
  </si>
  <si>
    <t>C_Small_TD</t>
  </si>
  <si>
    <t>C_Small_TD_Ave</t>
  </si>
  <si>
    <t>C_Small_Floors</t>
  </si>
  <si>
    <t>Serviced GLAR Coefficient</t>
  </si>
  <si>
    <t>C_Small_GLAR_Serviced</t>
  </si>
  <si>
    <t>C_Small_CP_Mech</t>
  </si>
  <si>
    <t>C_Small_CP_Nat</t>
  </si>
  <si>
    <t>Food Court Seats Coefficient</t>
  </si>
  <si>
    <t>C_Small_FCS</t>
  </si>
  <si>
    <t>Serviced Gym Coefficient</t>
  </si>
  <si>
    <t>C_Small_GLAR_Serviced_Gym</t>
  </si>
  <si>
    <t>C_Large_Intercept</t>
  </si>
  <si>
    <t>C_Large_CDD</t>
  </si>
  <si>
    <t>Gym Coefficient</t>
  </si>
  <si>
    <t>C_Large_GLARgym</t>
  </si>
  <si>
    <t>C_Large_FCS</t>
  </si>
  <si>
    <t>Theatrettes Coefficient</t>
  </si>
  <si>
    <t>C_Theatrettes</t>
  </si>
  <si>
    <t>shared between both</t>
  </si>
  <si>
    <t>C_Small_CDD</t>
  </si>
  <si>
    <t>Total GLAR Coefficient</t>
  </si>
  <si>
    <t>C_Small_GLAR</t>
  </si>
  <si>
    <t>C_Small_GLARgym</t>
  </si>
  <si>
    <t>Warehouses and Cold Stores</t>
  </si>
  <si>
    <t>Non-Refrigerated Corrections</t>
  </si>
  <si>
    <t>Conditioned (&gt;15°C) GLA  (m²) correction</t>
  </si>
  <si>
    <t>C_Conditioned_Area</t>
  </si>
  <si>
    <t>Non-conditioned GLA (m²) correction</t>
  </si>
  <si>
    <t>C_Non_Conditioned_Area</t>
  </si>
  <si>
    <t>Weekly Operating Hours Intercept</t>
  </si>
  <si>
    <t>C_C1_Hours_Intercept</t>
  </si>
  <si>
    <t>Weekly Operating Hours Coefficient</t>
  </si>
  <si>
    <t>C_C1_Hours_Coefficient</t>
  </si>
  <si>
    <t>Non-Refrigerated Standardized FTE Intercept</t>
  </si>
  <si>
    <t>C_C2_Non_Refrigerated_FTE_Intercept</t>
  </si>
  <si>
    <t>Non-Refrigerated Standardized FTE Coefficient</t>
  </si>
  <si>
    <t>C_C2_Non_Refrigerated_FTE_Coefficient</t>
  </si>
  <si>
    <t>Non-Refrigerated Annual Turnover Ratio Intercept (K2 &amp; K3)</t>
  </si>
  <si>
    <t>C_K2_K3_Non_Refrigerated_ATR_Intercept</t>
  </si>
  <si>
    <t>Non-Refrigerated Annual Turnover Ratio Coefficient (K2 &amp; K3)</t>
  </si>
  <si>
    <t>C_K2_K3_Non_Refrigerated_ATR_Coefficient</t>
  </si>
  <si>
    <t>Refrigerated Corrections</t>
  </si>
  <si>
    <t>Cold Room (-20°C to 0°C) Volume (m³) correction</t>
  </si>
  <si>
    <t>C_Cold_Volume</t>
  </si>
  <si>
    <t>Cool Room (0°C to 15°C) Volume (m³) correction</t>
  </si>
  <si>
    <t>C_Cool_Volume</t>
  </si>
  <si>
    <t>Refrigerated Standardized FTE Intercept</t>
  </si>
  <si>
    <t>C_C2_Refrigerated_FTE_Intercept</t>
  </si>
  <si>
    <t>Refrigerated Standardized FTE Coefficient</t>
  </si>
  <si>
    <t>C_C2_Refrigerated_FTE_Coefficient</t>
  </si>
  <si>
    <t>Refrigerated Annual Turnover Ratio Intercept</t>
  </si>
  <si>
    <t>C_K3_Refrigerated_ATR_Intercept</t>
  </si>
  <si>
    <t>Refrigerated Annual Turnover Ratio Coefficient</t>
  </si>
  <si>
    <t>C_K3_Refrigerated_ATR_Coefficient</t>
  </si>
  <si>
    <t>Emissions Adjustment</t>
  </si>
  <si>
    <t>Adjusted Total Predicted Emissions Elec</t>
  </si>
  <si>
    <t>C_Adjustment_Elec</t>
  </si>
  <si>
    <t>Adjusted Total Predicted Emissions Gas</t>
  </si>
  <si>
    <t>C_Adjustment_Gas</t>
  </si>
  <si>
    <t>Schools Co-efficients</t>
  </si>
  <si>
    <t>State emission factors</t>
  </si>
  <si>
    <t>C_emissions</t>
  </si>
  <si>
    <t>C_re-center</t>
  </si>
  <si>
    <t>all sectors</t>
  </si>
  <si>
    <t>Government Schools and Catholic Systemic Schools</t>
  </si>
  <si>
    <t xml:space="preserve">Independent Schools </t>
  </si>
  <si>
    <t>Apartment Building Swimming Pool Types</t>
  </si>
  <si>
    <t>Swimming Pool Types</t>
  </si>
  <si>
    <t>No pool</t>
  </si>
  <si>
    <t>Unheated pool</t>
  </si>
  <si>
    <t>Apartment Building Gym Presence</t>
  </si>
  <si>
    <t>Gym Presence</t>
  </si>
  <si>
    <t>Data Centre Rating Type</t>
  </si>
  <si>
    <t>Whole Facility</t>
  </si>
  <si>
    <t>Hospital Peer Groups</t>
  </si>
  <si>
    <t>Rateable?</t>
  </si>
  <si>
    <t>Principal referral hospitals</t>
  </si>
  <si>
    <t>Public acute group A hospitals</t>
  </si>
  <si>
    <t>Public acute group B hospitals</t>
  </si>
  <si>
    <t>Public acute group C hospitals</t>
  </si>
  <si>
    <t>Public acute group D hospitals</t>
  </si>
  <si>
    <t>Acute psychiatric hospitals</t>
  </si>
  <si>
    <t>Other acute specialised hospitals</t>
  </si>
  <si>
    <t>Same day hospitals</t>
  </si>
  <si>
    <t>Other hospitals</t>
  </si>
  <si>
    <t>Hotel AAA Star Ratings</t>
  </si>
  <si>
    <t>Star Ratings</t>
  </si>
  <si>
    <t>&lt;select&gt;</t>
  </si>
  <si>
    <t>Office Rating Types</t>
  </si>
  <si>
    <t>Whole Building</t>
  </si>
  <si>
    <t>Shopping Centre Floor Types</t>
  </si>
  <si>
    <t>Floor Types</t>
  </si>
  <si>
    <t>RACRL Rating Types</t>
  </si>
  <si>
    <t>Rating Types</t>
  </si>
  <si>
    <t>Residential Aged Care</t>
  </si>
  <si>
    <t>Pool Presence</t>
  </si>
  <si>
    <t>Warehouse Operational Data availability</t>
  </si>
  <si>
    <t>FTE and ATR Availability</t>
  </si>
  <si>
    <t>Both</t>
  </si>
  <si>
    <t>Warehouse Coldstore presence</t>
  </si>
  <si>
    <t>Cold Store Presence</t>
  </si>
  <si>
    <t>Energy &amp; Water</t>
  </si>
  <si>
    <t>Benchmark Factors</t>
  </si>
  <si>
    <t>Lower Limit</t>
  </si>
  <si>
    <t>Upper Limit</t>
  </si>
  <si>
    <t>Interpolated Bands</t>
  </si>
  <si>
    <t>Reverse Calculator BF Bands</t>
  </si>
  <si>
    <t>Ratio</t>
  </si>
  <si>
    <t>Stars</t>
  </si>
  <si>
    <t>Calculated Stars</t>
  </si>
  <si>
    <t>Calculated Ratio</t>
  </si>
  <si>
    <t>Slope</t>
  </si>
  <si>
    <t>Star rating converion equations</t>
  </si>
  <si>
    <t>Star</t>
  </si>
  <si>
    <t>BF</t>
  </si>
  <si>
    <t>Fuel Type</t>
  </si>
  <si>
    <t>Scope 1 
EF</t>
  </si>
  <si>
    <t>Scope 2
EF</t>
  </si>
  <si>
    <t>Scope 3
EF</t>
  </si>
  <si>
    <t>Emissions Factors unit (scope 1, scope 2 and scope 3</t>
  </si>
  <si>
    <t>Energy Content Factor</t>
  </si>
  <si>
    <t>Emissions Content Factor unit</t>
  </si>
  <si>
    <t>Scopes 1&amp;2</t>
  </si>
  <si>
    <t>Scopes 1,2&amp;3</t>
  </si>
  <si>
    <t>Emissions Factors unit (scope 1&amp;2 and 1,2&amp;3)</t>
  </si>
  <si>
    <t>kgCO2-e/kWh</t>
  </si>
  <si>
    <t>kgCO2-e/GJ</t>
  </si>
  <si>
    <t>kgCO2-e/MJ</t>
  </si>
  <si>
    <t>All states</t>
  </si>
  <si>
    <t>GJ/t</t>
  </si>
  <si>
    <t>kgCO2-e/kg</t>
  </si>
  <si>
    <t>Diesel Oil</t>
  </si>
  <si>
    <t>GJ/kL</t>
  </si>
  <si>
    <t>kgCO2-e/L</t>
  </si>
  <si>
    <t>SGEe Scopes 1,2&amp;3</t>
  </si>
  <si>
    <t>SGEg Scopes 1,2&amp;3</t>
  </si>
  <si>
    <t>SGEd Scopes 1,2&amp;3</t>
  </si>
  <si>
    <t>SGEc Scopes 1,2&amp;3</t>
  </si>
  <si>
    <t>SGEl Scopes 1,2&amp;3</t>
  </si>
  <si>
    <t>SGEe Scopes 1&amp;2</t>
  </si>
  <si>
    <t>SGEg Scopes 1&amp;2</t>
  </si>
  <si>
    <t>SGEd Scopes 1&amp;2</t>
  </si>
  <si>
    <t>SGEc Scopes 1&amp;2</t>
  </si>
  <si>
    <t>SGEl Scopes 1&amp;2</t>
  </si>
  <si>
    <t>NABERS Energy and Water Combined Reverse Calculator</t>
  </si>
  <si>
    <t>Release Notes</t>
  </si>
  <si>
    <t>Status</t>
  </si>
  <si>
    <t>V20.0</t>
  </si>
  <si>
    <t>Issued to OEH</t>
  </si>
  <si>
    <t>Reduced text size Apts reference table, renamed variable C_E_Seps_a, added Version Notes tab back in</t>
  </si>
  <si>
    <t>Created tables to Hospital Tri-Linear references.  Updated ETL &amp; WTL calculations to reference tables. Corrected references to named variables for E_Seps</t>
  </si>
  <si>
    <t>Offices</t>
  </si>
  <si>
    <t>Result Fully matches online calculator for both elec, gas &amp; diesel , above at &amp; below 5 stars</t>
  </si>
  <si>
    <t>https://www.nabers.gov.au/ratings/estimate-your-rating</t>
  </si>
  <si>
    <t>water doesn't exactly match above 5 stars, 1 kL below</t>
  </si>
  <si>
    <t>Result Fully matches online calculator for both elec, gas &amp; diesel and water</t>
  </si>
  <si>
    <t>Result Fully matches online calculator for elec</t>
  </si>
  <si>
    <t>Result Fully matches online calculator for both elec and water.</t>
  </si>
  <si>
    <t>Result with BF+0.005 matches online calculator for both elec and water</t>
  </si>
  <si>
    <t>https://apartmentbuildingstest.nabers.gov.au/login</t>
  </si>
  <si>
    <t>Hospital</t>
  </si>
  <si>
    <t>Result matches excel rating tool for water.  However, Rating tool is out of date, using Cnational coeffecient from 2016 forn energy.  Tool also has extensive broken links</t>
  </si>
  <si>
    <t>RACRL - RAC</t>
  </si>
  <si>
    <t>Result Fully matches online calculator for both elec, gas and water</t>
  </si>
  <si>
    <t>https://naboltest-naboltest.cs74.force.com/community/s/login/</t>
  </si>
  <si>
    <t>RACRL - RL</t>
  </si>
  <si>
    <t xml:space="preserve">Result Fully matches online calculator for both elec and water.  </t>
  </si>
  <si>
    <t>RACRL - CL</t>
  </si>
  <si>
    <t>Result Fully matches online calculator for elec. Parameters are for CL Eqn 6 (Used 100.028*dwelling + 0.003*(sitearea*IRR)</t>
  </si>
  <si>
    <t>NABERS UK</t>
  </si>
  <si>
    <t>Result Fully matches excel calculator</t>
  </si>
  <si>
    <t>Notes</t>
  </si>
  <si>
    <t>Rating Tool</t>
  </si>
  <si>
    <t>Note Date</t>
  </si>
  <si>
    <t>Note</t>
  </si>
  <si>
    <t>Resolution Date</t>
  </si>
  <si>
    <t>Resolution</t>
  </si>
  <si>
    <t>Emissions calculated using benchmark SGE.  No forward calculators to test against</t>
  </si>
  <si>
    <t>This needs to be confirmed.  Currently forward calculator is wrong.</t>
  </si>
  <si>
    <t>Geclimcorr Term 1 change to use gas sge in MJ not kWh</t>
  </si>
  <si>
    <t>Tasmanian correction made to derive SGE using 0.75/3.6</t>
  </si>
  <si>
    <t>Zy calculation to be tidied up - include both options for future online rating correction</t>
  </si>
  <si>
    <t>calculation of A unrounded &amp; Zy included</t>
  </si>
  <si>
    <t>water 5 star parameters to be tidied up</t>
  </si>
  <si>
    <t>done</t>
  </si>
  <si>
    <t>Data Centre</t>
  </si>
  <si>
    <t>check forward calculator for IT requires rating period input</t>
  </si>
  <si>
    <t>fixed now</t>
  </si>
  <si>
    <t>fix output to not display yrly figures for IT equipment rating</t>
  </si>
  <si>
    <t>commented them out, as per IT equipment is only displayed</t>
  </si>
  <si>
    <t>All tools</t>
  </si>
  <si>
    <t>check gas &amp; diesel coefficients  still hit the exact results just like elec does</t>
  </si>
  <si>
    <t>all confirmed</t>
  </si>
  <si>
    <t>resize columns D &amp; E to accommodate RACRL rating types</t>
  </si>
  <si>
    <t>column D 5, column E 39</t>
  </si>
  <si>
    <t>Office</t>
  </si>
  <si>
    <t>Office has Benchmark factor still displayed at 5.5 and 6 stars</t>
  </si>
  <si>
    <t>fixed NGE output in table</t>
  </si>
  <si>
    <t>Energy intensities to be included on all calculators - format to be confirmed</t>
  </si>
  <si>
    <t>above 5 stars, confirmed [energy stars]-0.5 is correct factor to use for calcualting NGE or GE above 5 stars. Term NGE_at_5_stars uses -0.499999.</t>
  </si>
  <si>
    <t>Added issue that Developer doc needs to be updated</t>
  </si>
  <si>
    <t>Water parameters were as for RL benchmark in RAC/RL report, no eqn 5 from REP634. (Used: 53.355*dwelling + 0.001*(sitearea*IRR)</t>
  </si>
  <si>
    <t>Coefficients to be added to coeffcients tab, for both GE terms and water terms</t>
  </si>
  <si>
    <t>Forward calculator still to be checked for all rating tools</t>
  </si>
  <si>
    <t>move greenpower to end of fwd energy inputs on all front ends</t>
  </si>
  <si>
    <t>benchmarking factor for FWD calc output needs to be fixed to show N/A above 5 stars.  Check NGE calca are correct</t>
  </si>
  <si>
    <t>added NGE published calc in FWD calculator section</t>
  </si>
  <si>
    <t>Should there be a front end with all 6 water options, in case benchmarks change in the future?</t>
  </si>
  <si>
    <t>created separate 'detailed' tab</t>
  </si>
  <si>
    <t>Inputs are there, but it would need to be able calculate other parameters and duplicate the existing output.  Could create additional table &amp; similar calcs to show it's the same still?</t>
  </si>
  <si>
    <t>subscript all with GP/no GP etc parts of headings for forward calculation</t>
  </si>
  <si>
    <t>office</t>
  </si>
  <si>
    <t>double check if predicted water can be deleted from before 6.0* w1 &amp; water bulk reverse calc</t>
  </si>
  <si>
    <t>yes, shopping centre parameter</t>
  </si>
  <si>
    <t xml:space="preserve">reverse &amp; fwd calculator shouldn’t produce output until all parameters completed </t>
  </si>
  <si>
    <t>Confirmed ignore with NABERS</t>
  </si>
  <si>
    <t>UK</t>
  </si>
  <si>
    <t>ensure kWhe is used for elec equivalent kWh where relevant</t>
  </si>
  <si>
    <t>add references to Rules sections as per other tools</t>
  </si>
  <si>
    <t>RACRL</t>
  </si>
  <si>
    <t>comments are still from offices</t>
  </si>
  <si>
    <t>resize column I to match hospitals</t>
  </si>
  <si>
    <t>peer group wraps on two rows. All column I 19.94 wide</t>
  </si>
  <si>
    <t>TAS Diesel (and gas) - does not work using same emissions factors as for other rating tools (in default units)</t>
  </si>
  <si>
    <t>matches online in all instances</t>
  </si>
  <si>
    <t>Change RAC references to RACRL</t>
  </si>
  <si>
    <t>Done</t>
  </si>
  <si>
    <t>Should we allow fuel unit conversion as part of the front end, or at least a note?</t>
  </si>
  <si>
    <t>decided it's only relevant to forward</t>
  </si>
  <si>
    <t>Update locked and hidden cells/formulae for final version</t>
  </si>
  <si>
    <t>apartment detailed water cells still to be tidied</t>
  </si>
  <si>
    <t>intermediate calcs for both energy &amp; water to be tidied</t>
  </si>
  <si>
    <t>tidied</t>
  </si>
  <si>
    <t>Should forward decimal result be allowed above 6 stars then round down actual result to max?</t>
  </si>
  <si>
    <t>check w1 &amp; w2 in water equation if should be -0.5 or -0.49999</t>
  </si>
  <si>
    <t>Fixed</t>
  </si>
  <si>
    <t>incorrect for TAS</t>
  </si>
  <si>
    <t>TAS seems any calc is 5kWh too low compared with online calculator. Check more options</t>
  </si>
  <si>
    <t>Fixed.  Residual re-corrected back to -0.5, not -0.49999</t>
  </si>
  <si>
    <t>IT Equip not completely accurate, about 3kWh too low.  Was it ever perfect?</t>
  </si>
  <si>
    <t>my forward calc of IT equip gives same result as online</t>
  </si>
  <si>
    <t>Needed to change the residual adjustment back to -0.5 for the reverse calc after testing with -0.49999 for a bit</t>
  </si>
  <si>
    <t>offices TAS NGE at 5 stars calc is prob wrong using TAS parameters for gas</t>
  </si>
  <si>
    <t>All calculations using sgegas have to use 0.75/3.6 for Tas.  This includes Gecorrclim terms</t>
  </si>
  <si>
    <t>test forward decimal results and their rounding &amp; if that matches online</t>
  </si>
  <si>
    <t>Energy rating calculation seems broken online today for some reason</t>
  </si>
  <si>
    <t>FWD calculator BF is currently wrong</t>
  </si>
  <si>
    <t>corrected to RACRL algorithm, not other standard algorithm</t>
  </si>
  <si>
    <t xml:space="preserve">issue at 3.5 stars for infrastructure, related to %HR. &amp; rounding of climate correction &amp; condenser correction. </t>
  </si>
  <si>
    <t>infrastructure climate correction rounded down to 0 DP</t>
  </si>
  <si>
    <t>V20.1</t>
  </si>
  <si>
    <t>SC</t>
  </si>
  <si>
    <t>Shopping Centres single line, renamed Forward Water, from Forward Wate</t>
  </si>
  <si>
    <t>Renamed S to AAAStar</t>
  </si>
  <si>
    <t>renamed N to Rooms</t>
  </si>
  <si>
    <t>relabelled "Predicted Mean Emissions" to "Predicted Ave Emissions" in Front end</t>
  </si>
  <si>
    <t>SC &amp; RACRL</t>
  </si>
  <si>
    <t>re-ordered to correct alphabetical order</t>
  </si>
  <si>
    <t>Corrected PUE calc for Whole Facility, simplified Infrastructure equation</t>
  </si>
  <si>
    <t>Changed Rooms to Apartments in single line</t>
  </si>
  <si>
    <t>V21.0</t>
  </si>
  <si>
    <t>WACS</t>
  </si>
  <si>
    <t>Warehouses and Cold Stores calculator added</t>
  </si>
  <si>
    <t>Scope 1&amp;2 and 1,2&amp;3 emissions label changed from 'Actual' to 'Target' on all front ends</t>
  </si>
  <si>
    <t>Multiple</t>
  </si>
  <si>
    <t>Added '&lt;Select&gt;' to drop down lists</t>
  </si>
  <si>
    <t>V21.1</t>
  </si>
  <si>
    <t>Updated star rating calculation &amp; SGE factors to match updated benchmark report</t>
  </si>
  <si>
    <t>Corrected FWD calc to return 0 stars if less than 1 (instead of 1)</t>
  </si>
  <si>
    <t>WaCS</t>
  </si>
  <si>
    <t>WaCS Added</t>
  </si>
  <si>
    <t>Front End remove from tab names</t>
  </si>
  <si>
    <t>Emissions renamed to "Benchmarking" and "Reporting"</t>
  </si>
  <si>
    <t>V21.2</t>
  </si>
  <si>
    <t>Updated tbl_Hospital_CNational_Lists to change CCentering to "NA" for states without an active benchmark,</t>
  </si>
  <si>
    <t>Updated references for outputs to show "NA" rather than an error when CCentering is looked up as "NA" (which is text and causes calculationg errors)</t>
  </si>
  <si>
    <t>Update to show "NA for State" in Front end for most obvious understanding by users</t>
  </si>
  <si>
    <t>V22</t>
  </si>
  <si>
    <t>Merge V20 and V21.</t>
  </si>
  <si>
    <t>V23</t>
  </si>
  <si>
    <t xml:space="preserve">Office </t>
  </si>
  <si>
    <t>Row 12 in Office had to be "unlocked".</t>
  </si>
  <si>
    <t>V23.1</t>
  </si>
  <si>
    <t>CCentering benchmarks updated for ACT/NSW &amp; WA.</t>
  </si>
  <si>
    <t>V25</t>
  </si>
  <si>
    <t>Updated Scope 1&amp;2 and 1,2&amp;3 emissions to refer to 2022 NGA factor table</t>
  </si>
  <si>
    <t>Updated references to benchmarking &amp; reporting emissions factors in single line calculator tab</t>
  </si>
  <si>
    <t>Schools</t>
  </si>
  <si>
    <t>NABERS Energy and Water for Schools Reverse and Forward Calculators are created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</si>
</sst>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_-* #,##0_-;\-* #,##0_-;_-* &quot;-&quot;??_-;_-@_-"/>
    <numFmt numFmtId="166" formatCode="0.0000"/>
    <numFmt numFmtId="167" formatCode="0.0"/>
    <numFmt numFmtId="168" formatCode="0.0000%"/>
    <numFmt numFmtId="169" formatCode="0.000"/>
    <numFmt numFmtId="170" formatCode="#,##0.0"/>
    <numFmt numFmtId="171" formatCode="0.00000000"/>
    <numFmt numFmtId="172" formatCode="#,##0.000"/>
    <numFmt numFmtId="173" formatCode="0.000000"/>
    <numFmt numFmtId="174" formatCode="_-* #,##0.0_-;\-* #,##0.0_-;_-* &quot;-&quot;?_-;_-@_-"/>
    <numFmt numFmtId="175" formatCode="0.00000"/>
    <numFmt numFmtId="176" formatCode="_-* #,##0.0_-;\-* #,##0.0_-;_-* &quot;-&quot;??_-;_-@_-"/>
    <numFmt numFmtId="177" formatCode="_-* #,##0.000_-;\-* #,##0.000_-;_-* &quot;-&quot;??_-;_-@_-"/>
    <numFmt numFmtId="178" formatCode="_ * #,##0.00_ ;_ * \-#,##0.00_ ;_ * &quot;-&quot;??_ ;_ @_ "/>
    <numFmt numFmtId="179" formatCode="_-* #,##0.00000000_-;\-* #,##0.00000000_-;_-* &quot;-&quot;??_-;_-@_-"/>
    <numFmt numFmtId="180" formatCode="#,##0.00000"/>
    <numFmt numFmtId="181" formatCode="_-* #,##0.000000000_-;\-* #,##0.000000000_-;_-* &quot;-&quot;??_-;_-@_-"/>
    <numFmt numFmtId="182" formatCode="_-* #,##0.00000_-;\-* #,##0.00000_-;_-* &quot;-&quot;??_-;_-@_-"/>
    <numFmt numFmtId="183" formatCode="0.0000000"/>
    <numFmt numFmtId="184" formatCode="#,##0.0000"/>
    <numFmt numFmtId="185" formatCode="_(* #,##0_);_(* \(#,##0\);_(* &quot;-&quot;??_);_(@_)"/>
  </numFmts>
  <fonts count="124">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34"/>
      <scheme val="minor"/>
    </font>
    <font>
      <sz val="10"/>
      <name val="Arial"/>
      <family val="2"/>
    </font>
    <font>
      <sz val="9"/>
      <name val="宋体"/>
      <family val="3"/>
      <charset val="134"/>
    </font>
    <font>
      <sz val="10"/>
      <color theme="2"/>
      <name val="Arial"/>
      <family val="2"/>
    </font>
    <font>
      <b/>
      <sz val="16"/>
      <color rgb="FF00799A"/>
      <name val="Arial"/>
      <family val="2"/>
    </font>
    <font>
      <b/>
      <sz val="8"/>
      <color rgb="FF0087A1"/>
      <name val="Arial"/>
      <family val="2"/>
    </font>
    <font>
      <b/>
      <sz val="12"/>
      <color rgb="FF0095B5"/>
      <name val="Arial"/>
      <family val="2"/>
    </font>
    <font>
      <b/>
      <sz val="10"/>
      <color rgb="FF00799A"/>
      <name val="Arial"/>
      <family val="2"/>
    </font>
    <font>
      <sz val="10"/>
      <color rgb="FF00799A"/>
      <name val="Arial"/>
      <family val="2"/>
    </font>
    <font>
      <b/>
      <sz val="13"/>
      <name val="Arial"/>
      <family val="2"/>
    </font>
    <font>
      <sz val="8.5"/>
      <color rgb="FF0087A1"/>
      <name val="Arial"/>
      <family val="2"/>
    </font>
    <font>
      <b/>
      <sz val="12"/>
      <name val="Arial"/>
      <family val="2"/>
    </font>
    <font>
      <b/>
      <sz val="13.5"/>
      <name val="Arial"/>
      <family val="2"/>
    </font>
    <font>
      <sz val="12"/>
      <name val="Arial"/>
      <family val="2"/>
    </font>
    <font>
      <b/>
      <sz val="10"/>
      <name val="Arial"/>
      <family val="2"/>
    </font>
    <font>
      <sz val="10"/>
      <name val="MS Sans Serif"/>
      <family val="2"/>
    </font>
    <font>
      <b/>
      <sz val="10"/>
      <color indexed="10"/>
      <name val="Arial"/>
      <family val="2"/>
    </font>
    <font>
      <b/>
      <sz val="10"/>
      <color indexed="53"/>
      <name val="Arial"/>
      <family val="2"/>
    </font>
    <font>
      <sz val="10"/>
      <color indexed="53"/>
      <name val="Arial"/>
      <family val="2"/>
    </font>
    <font>
      <sz val="11"/>
      <color theme="1"/>
      <name val="Calibri"/>
      <family val="2"/>
    </font>
    <font>
      <sz val="10"/>
      <color theme="8" tint="0.79998168889431442"/>
      <name val="Arial"/>
      <family val="2"/>
    </font>
    <font>
      <b/>
      <sz val="10"/>
      <color theme="7" tint="0.79998168889431442"/>
      <name val="Arial"/>
      <family val="2"/>
    </font>
    <font>
      <sz val="8"/>
      <color indexed="21"/>
      <name val="Arial"/>
      <family val="2"/>
    </font>
    <font>
      <b/>
      <sz val="8"/>
      <color indexed="21"/>
      <name val="Arial"/>
      <family val="2"/>
    </font>
    <font>
      <b/>
      <sz val="20"/>
      <name val="Arial"/>
      <family val="2"/>
    </font>
    <font>
      <vertAlign val="subscript"/>
      <sz val="10"/>
      <color indexed="53"/>
      <name val="Arial"/>
      <family val="2"/>
    </font>
    <font>
      <sz val="10"/>
      <color indexed="9"/>
      <name val="Arial"/>
      <family val="2"/>
    </font>
    <font>
      <b/>
      <sz val="13"/>
      <color rgb="FF00CCFF"/>
      <name val="Arial"/>
      <family val="2"/>
    </font>
    <font>
      <sz val="10"/>
      <color indexed="40"/>
      <name val="Arial"/>
      <family val="2"/>
    </font>
    <font>
      <sz val="10"/>
      <color indexed="26"/>
      <name val="Arial"/>
      <family val="2"/>
    </font>
    <font>
      <b/>
      <sz val="8"/>
      <color indexed="81"/>
      <name val="Tahoma"/>
      <family val="2"/>
    </font>
    <font>
      <sz val="8"/>
      <color indexed="81"/>
      <name val="Tahoma"/>
      <family val="2"/>
    </font>
    <font>
      <sz val="8"/>
      <name val="MS Sans Serif"/>
    </font>
    <font>
      <b/>
      <sz val="11"/>
      <color theme="1"/>
      <name val="Calibri"/>
      <family val="2"/>
      <scheme val="minor"/>
    </font>
    <font>
      <sz val="10"/>
      <color theme="1"/>
      <name val="Calibri"/>
      <family val="2"/>
      <scheme val="minor"/>
    </font>
    <font>
      <vertAlign val="subscript"/>
      <sz val="10"/>
      <color theme="1"/>
      <name val="Calibri"/>
      <family val="2"/>
      <scheme val="minor"/>
    </font>
    <font>
      <sz val="9"/>
      <color theme="1"/>
      <name val="Calibri"/>
      <family val="2"/>
      <scheme val="minor"/>
    </font>
    <font>
      <sz val="10"/>
      <name val="MS Sans Serif"/>
    </font>
    <font>
      <b/>
      <sz val="10"/>
      <color theme="1"/>
      <name val="Calibri"/>
      <family val="2"/>
      <scheme val="minor"/>
    </font>
    <font>
      <b/>
      <vertAlign val="subscript"/>
      <sz val="10"/>
      <color theme="1"/>
      <name val="Calibri"/>
      <family val="2"/>
      <scheme val="minor"/>
    </font>
    <font>
      <sz val="10"/>
      <name val="Calibri"/>
      <family val="2"/>
      <scheme val="minor"/>
    </font>
    <font>
      <b/>
      <sz val="10"/>
      <name val="Calibri"/>
      <family val="2"/>
      <scheme val="minor"/>
    </font>
    <font>
      <b/>
      <sz val="10"/>
      <color indexed="10"/>
      <name val="Calibri"/>
      <family val="2"/>
      <scheme val="minor"/>
    </font>
    <font>
      <sz val="10"/>
      <color indexed="8"/>
      <name val="Calibri"/>
      <family val="2"/>
      <scheme val="minor"/>
    </font>
    <font>
      <b/>
      <sz val="10"/>
      <name val="Calibr"/>
    </font>
    <font>
      <sz val="10"/>
      <color indexed="8"/>
      <name val="Calibr"/>
    </font>
    <font>
      <sz val="10"/>
      <color theme="1"/>
      <name val="Calibr"/>
    </font>
    <font>
      <vertAlign val="subscript"/>
      <sz val="10"/>
      <color theme="1"/>
      <name val="Calibr"/>
    </font>
    <font>
      <sz val="11"/>
      <color rgb="FF006100"/>
      <name val="Calibri"/>
      <family val="2"/>
      <scheme val="minor"/>
    </font>
    <font>
      <sz val="9"/>
      <color indexed="81"/>
      <name val="Tahoma"/>
      <family val="2"/>
    </font>
    <font>
      <b/>
      <sz val="10"/>
      <color rgb="FFFF0000"/>
      <name val="Arial"/>
      <family val="2"/>
    </font>
    <font>
      <b/>
      <sz val="10"/>
      <color indexed="40"/>
      <name val="Arial"/>
      <family val="2"/>
    </font>
    <font>
      <sz val="10"/>
      <color theme="0" tint="-4.9989318521683403E-2"/>
      <name val="Arial"/>
      <family val="2"/>
    </font>
    <font>
      <b/>
      <sz val="10"/>
      <color theme="0" tint="-4.9989318521683403E-2"/>
      <name val="Arial"/>
      <family val="2"/>
    </font>
    <font>
      <b/>
      <sz val="10"/>
      <color rgb="FF00CCFF"/>
      <name val="Arial"/>
      <family val="2"/>
    </font>
    <font>
      <b/>
      <sz val="10"/>
      <color rgb="FFFF6600"/>
      <name val="Arial"/>
      <family val="2"/>
    </font>
    <font>
      <b/>
      <sz val="12"/>
      <color theme="1"/>
      <name val="Calibri"/>
      <family val="2"/>
      <scheme val="minor"/>
    </font>
    <font>
      <b/>
      <sz val="12"/>
      <name val="Calibri"/>
      <family val="2"/>
      <scheme val="minor"/>
    </font>
    <font>
      <u/>
      <sz val="11"/>
      <color theme="10"/>
      <name val="Calibri"/>
      <family val="2"/>
      <scheme val="minor"/>
    </font>
    <font>
      <sz val="8"/>
      <color theme="1"/>
      <name val="Calibri"/>
      <family val="2"/>
      <scheme val="minor"/>
    </font>
    <font>
      <b/>
      <sz val="13"/>
      <color indexed="40"/>
      <name val="Arial"/>
      <family val="2"/>
    </font>
    <font>
      <sz val="10"/>
      <color rgb="FFFF0000"/>
      <name val="Calibri"/>
      <family val="2"/>
      <scheme val="minor"/>
    </font>
    <font>
      <b/>
      <vertAlign val="subscript"/>
      <sz val="10"/>
      <name val="Calibri"/>
      <family val="2"/>
      <scheme val="minor"/>
    </font>
    <font>
      <sz val="10"/>
      <color indexed="10"/>
      <name val="Calibri"/>
      <family val="2"/>
      <scheme val="minor"/>
    </font>
    <font>
      <sz val="12"/>
      <color theme="1"/>
      <name val="Calibri"/>
      <family val="2"/>
      <scheme val="minor"/>
    </font>
    <font>
      <b/>
      <sz val="10"/>
      <color rgb="FF006C88"/>
      <name val="Arial"/>
      <family val="2"/>
    </font>
    <font>
      <sz val="10"/>
      <color rgb="FF006C88"/>
      <name val="Arial"/>
      <family val="2"/>
    </font>
    <font>
      <i/>
      <sz val="10"/>
      <color rgb="FFED960A"/>
      <name val="Arial"/>
      <family val="2"/>
    </font>
    <font>
      <sz val="10"/>
      <color theme="1"/>
      <name val="Arial"/>
      <family val="2"/>
    </font>
    <font>
      <sz val="12"/>
      <color theme="1"/>
      <name val="Arial"/>
      <family val="2"/>
    </font>
    <font>
      <b/>
      <sz val="8.5"/>
      <color rgb="FF0087A2"/>
      <name val="Arial"/>
      <family val="2"/>
    </font>
    <font>
      <b/>
      <sz val="10"/>
      <color theme="1"/>
      <name val="Arial"/>
      <family val="2"/>
    </font>
    <font>
      <sz val="8.5"/>
      <color rgb="FF0087A1"/>
      <name val="Calibri"/>
      <family val="2"/>
      <scheme val="minor"/>
    </font>
    <font>
      <b/>
      <sz val="8.5"/>
      <color rgb="FF0087A1"/>
      <name val="Arial"/>
      <family val="2"/>
    </font>
    <font>
      <sz val="10"/>
      <name val="CalQ"/>
    </font>
    <font>
      <sz val="8.5"/>
      <color theme="1"/>
      <name val="Arial"/>
      <family val="2"/>
    </font>
    <font>
      <b/>
      <sz val="8.5"/>
      <color theme="0"/>
      <name val="Arial"/>
      <family val="2"/>
    </font>
    <font>
      <sz val="8"/>
      <color rgb="FF0087A1"/>
      <name val="Arial"/>
      <family val="2"/>
    </font>
    <font>
      <sz val="10"/>
      <color theme="2"/>
      <name val="CalQ"/>
    </font>
    <font>
      <u/>
      <sz val="10"/>
      <color theme="10"/>
      <name val="MS Sans Serif"/>
    </font>
    <font>
      <b/>
      <sz val="12"/>
      <color rgb="FF00799A"/>
      <name val="Calibri"/>
      <family val="2"/>
      <scheme val="minor"/>
    </font>
    <font>
      <sz val="10"/>
      <color theme="8" tint="0.79998168889431442"/>
      <name val="CalQ"/>
    </font>
    <font>
      <b/>
      <sz val="14"/>
      <color rgb="FF00799A"/>
      <name val="Arial"/>
      <family val="2"/>
    </font>
    <font>
      <b/>
      <sz val="20"/>
      <color indexed="53"/>
      <name val="Arial"/>
      <family val="2"/>
    </font>
    <font>
      <b/>
      <i/>
      <sz val="10"/>
      <name val="Arial"/>
      <family val="2"/>
    </font>
    <font>
      <sz val="11"/>
      <color theme="1"/>
      <name val="Calibri"/>
      <family val="3"/>
      <charset val="134"/>
      <scheme val="minor"/>
    </font>
    <font>
      <b/>
      <sz val="11"/>
      <color theme="1"/>
      <name val="Calibri"/>
      <family val="3"/>
      <charset val="134"/>
      <scheme val="minor"/>
    </font>
    <font>
      <sz val="11"/>
      <color theme="1"/>
      <name val="Arial"/>
      <family val="2"/>
    </font>
    <font>
      <sz val="8"/>
      <name val="Arial"/>
      <family val="2"/>
    </font>
    <font>
      <b/>
      <sz val="13"/>
      <color indexed="53"/>
      <name val="Arial"/>
      <family val="2"/>
    </font>
    <font>
      <b/>
      <sz val="13"/>
      <color theme="9"/>
      <name val="Arial"/>
      <family val="2"/>
    </font>
    <font>
      <sz val="10"/>
      <color theme="9"/>
      <name val="Arial"/>
      <family val="2"/>
    </font>
    <font>
      <b/>
      <sz val="10"/>
      <color indexed="9"/>
      <name val="Arial"/>
      <family val="2"/>
    </font>
    <font>
      <b/>
      <sz val="10"/>
      <color theme="9"/>
      <name val="Arial"/>
      <family val="2"/>
    </font>
    <font>
      <sz val="10"/>
      <color rgb="FFFF0000"/>
      <name val="Arial"/>
      <family val="2"/>
    </font>
    <font>
      <sz val="11"/>
      <color theme="9"/>
      <name val="Arial"/>
      <family val="2"/>
    </font>
    <font>
      <b/>
      <sz val="13"/>
      <color rgb="FF00B0F0"/>
      <name val="Arial"/>
      <family val="2"/>
    </font>
    <font>
      <sz val="10"/>
      <color indexed="10"/>
      <name val="Arial"/>
      <family val="2"/>
    </font>
    <font>
      <b/>
      <sz val="10"/>
      <color theme="0"/>
      <name val="Arial"/>
      <family val="2"/>
    </font>
    <font>
      <sz val="10"/>
      <color theme="1" tint="0.499984740745262"/>
      <name val="Calibri"/>
      <family val="2"/>
    </font>
    <font>
      <sz val="10"/>
      <color theme="1"/>
      <name val="Calibri"/>
      <family val="2"/>
    </font>
    <font>
      <sz val="10"/>
      <color theme="0"/>
      <name val="Calibri"/>
      <family val="2"/>
    </font>
    <font>
      <sz val="10"/>
      <color rgb="FF000000"/>
      <name val="Calibri"/>
      <family val="2"/>
    </font>
    <font>
      <b/>
      <vertAlign val="superscript"/>
      <sz val="10"/>
      <color theme="1"/>
      <name val="Calibri"/>
      <family val="2"/>
      <scheme val="minor"/>
    </font>
    <font>
      <sz val="10"/>
      <color indexed="8"/>
      <name val="Calibri"/>
      <family val="2"/>
    </font>
    <font>
      <sz val="10"/>
      <color theme="0"/>
      <name val="Arial"/>
      <family val="2"/>
    </font>
    <font>
      <sz val="8.5"/>
      <color theme="0"/>
      <name val="Arial"/>
      <family val="2"/>
    </font>
    <font>
      <sz val="10"/>
      <color theme="0"/>
      <name val="CalQ"/>
    </font>
    <font>
      <b/>
      <sz val="10"/>
      <color rgb="FF000000"/>
      <name val="Arial"/>
    </font>
    <font>
      <b/>
      <sz val="10"/>
      <color rgb="FFFF0000"/>
      <name val="Arial"/>
    </font>
    <font>
      <b/>
      <sz val="10"/>
      <color theme="1"/>
      <name val="Arial"/>
    </font>
  </fonts>
  <fills count="29">
    <fill>
      <patternFill patternType="none"/>
    </fill>
    <fill>
      <patternFill patternType="gray125"/>
    </fill>
    <fill>
      <patternFill patternType="solid">
        <fgColor theme="4"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4"/>
        <bgColor theme="4"/>
      </patternFill>
    </fill>
    <fill>
      <patternFill patternType="solid">
        <fgColor rgb="FFC6EFCE"/>
      </patternFill>
    </fill>
    <fill>
      <patternFill patternType="solid">
        <fgColor indexed="45"/>
        <bgColor indexed="64"/>
      </patternFill>
    </fill>
    <fill>
      <patternFill patternType="solid">
        <fgColor rgb="FFF8CBAD"/>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23"/>
        <bgColor indexed="64"/>
      </patternFill>
    </fill>
    <fill>
      <patternFill patternType="solid">
        <fgColor theme="7" tint="0.59999389629810485"/>
        <bgColor indexed="64"/>
      </patternFill>
    </fill>
    <fill>
      <patternFill patternType="solid">
        <fgColor rgb="FF007298"/>
        <bgColor indexed="64"/>
      </patternFill>
    </fill>
    <fill>
      <patternFill patternType="solid">
        <fgColor rgb="FFBDD7EE"/>
        <bgColor indexed="64"/>
      </patternFill>
    </fill>
    <fill>
      <patternFill patternType="solid">
        <fgColor rgb="FFFFFFFF"/>
        <bgColor rgb="FF000000"/>
      </patternFill>
    </fill>
  </fills>
  <borders count="88">
    <border>
      <left/>
      <right/>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23"/>
      </left>
      <right style="thin">
        <color indexed="23"/>
      </right>
      <top/>
      <bottom style="thin">
        <color indexed="23"/>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thin">
        <color indexed="23"/>
      </left>
      <right/>
      <top style="thin">
        <color theme="4" tint="0.39997558519241921"/>
      </top>
      <bottom style="thin">
        <color indexed="23"/>
      </bottom>
      <diagonal/>
    </border>
    <border>
      <left/>
      <right style="thin">
        <color indexed="64"/>
      </right>
      <top/>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rgb="FF808080"/>
      </top>
      <bottom style="thin">
        <color rgb="FF808080"/>
      </bottom>
      <diagonal/>
    </border>
    <border>
      <left/>
      <right/>
      <top/>
      <bottom style="thick">
        <color rgb="FF808080"/>
      </bottom>
      <diagonal/>
    </border>
    <border>
      <left/>
      <right/>
      <top style="thick">
        <color rgb="FF808080"/>
      </top>
      <bottom style="thick">
        <color rgb="FF808080"/>
      </bottom>
      <diagonal/>
    </border>
    <border>
      <left style="thin">
        <color indexed="23"/>
      </left>
      <right/>
      <top style="thin">
        <color rgb="FF808080"/>
      </top>
      <bottom style="thin">
        <color rgb="FF808080"/>
      </bottom>
      <diagonal/>
    </border>
    <border>
      <left style="thin">
        <color indexed="23"/>
      </left>
      <right style="thin">
        <color rgb="FF808080"/>
      </right>
      <top style="thin">
        <color rgb="FF808080"/>
      </top>
      <bottom style="thin">
        <color rgb="FF808080"/>
      </bottom>
      <diagonal/>
    </border>
    <border>
      <left style="thin">
        <color indexed="23"/>
      </left>
      <right/>
      <top style="thin">
        <color rgb="FF808080"/>
      </top>
      <bottom/>
      <diagonal/>
    </border>
    <border>
      <left style="thin">
        <color rgb="FF808080"/>
      </left>
      <right/>
      <top style="thin">
        <color rgb="FF808080"/>
      </top>
      <bottom style="thin">
        <color indexed="23"/>
      </bottom>
      <diagonal/>
    </border>
    <border>
      <left style="thin">
        <color indexed="23"/>
      </left>
      <right/>
      <top style="thin">
        <color rgb="FF808080"/>
      </top>
      <bottom style="thin">
        <color indexed="23"/>
      </bottom>
      <diagonal/>
    </border>
    <border>
      <left style="thin">
        <color indexed="23"/>
      </left>
      <right/>
      <top/>
      <bottom style="thin">
        <color rgb="FF808080"/>
      </bottom>
      <diagonal/>
    </border>
    <border>
      <left style="thin">
        <color indexed="23"/>
      </left>
      <right style="thin">
        <color rgb="FF808080"/>
      </right>
      <top style="thin">
        <color rgb="FF808080"/>
      </top>
      <bottom style="thin">
        <color indexed="23"/>
      </bottom>
      <diagonal/>
    </border>
    <border>
      <left style="thin">
        <color indexed="23"/>
      </left>
      <right style="thin">
        <color rgb="FF808080"/>
      </right>
      <top/>
      <bottom style="thin">
        <color rgb="FF808080"/>
      </bottom>
      <diagonal/>
    </border>
    <border>
      <left style="thin">
        <color indexed="23"/>
      </left>
      <right style="thin">
        <color rgb="FF808080"/>
      </right>
      <top style="thin">
        <color rgb="FF808080"/>
      </top>
      <bottom/>
      <diagonal/>
    </border>
    <border>
      <left/>
      <right style="thin">
        <color indexed="23"/>
      </right>
      <top style="thin">
        <color rgb="FF808080"/>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style="thin">
        <color theme="0" tint="-0.499984740745262"/>
      </left>
      <right style="thin">
        <color theme="0" tint="-0.499984740745262"/>
      </right>
      <top style="thin">
        <color theme="0" tint="-0.499984740745262"/>
      </top>
      <bottom/>
      <diagonal/>
    </border>
    <border>
      <left style="thin">
        <color indexed="23"/>
      </left>
      <right style="thin">
        <color rgb="FF808080"/>
      </right>
      <top style="thin">
        <color theme="4" tint="0.39997558519241921"/>
      </top>
      <bottom style="thin">
        <color rgb="FF808080"/>
      </bottom>
      <diagonal/>
    </border>
    <border>
      <left style="thin">
        <color indexed="23"/>
      </left>
      <right/>
      <top style="thin">
        <color theme="4" tint="0.39997558519241921"/>
      </top>
      <bottom/>
      <diagonal/>
    </border>
    <border>
      <left style="thin">
        <color rgb="FF808080"/>
      </left>
      <right style="thin">
        <color rgb="FF808080"/>
      </right>
      <top/>
      <bottom style="thin">
        <color rgb="FF808080"/>
      </bottom>
      <diagonal/>
    </border>
    <border>
      <left style="thin">
        <color theme="0" tint="-0.499984740745262"/>
      </left>
      <right style="thin">
        <color theme="0" tint="-0.499984740745262"/>
      </right>
      <top/>
      <bottom style="thin">
        <color theme="0" tint="-0.49998474074526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4" tint="0.39997558519241921"/>
      </top>
      <bottom style="thin">
        <color rgb="FF808080"/>
      </bottom>
      <diagonal/>
    </border>
    <border>
      <left style="thin">
        <color indexed="64"/>
      </left>
      <right style="thin">
        <color indexed="64"/>
      </right>
      <top/>
      <bottom/>
      <diagonal/>
    </border>
    <border>
      <left/>
      <right style="thin">
        <color theme="0" tint="-0.499984740745262"/>
      </right>
      <top style="thin">
        <color rgb="FF808080"/>
      </top>
      <bottom style="thin">
        <color rgb="FF808080"/>
      </bottom>
      <diagonal/>
    </border>
    <border>
      <left/>
      <right style="thin">
        <color theme="0" tint="-0.499984740745262"/>
      </right>
      <top/>
      <bottom style="thin">
        <color rgb="FF808080"/>
      </bottom>
      <diagonal/>
    </border>
    <border>
      <left/>
      <right style="thin">
        <color theme="0" tint="-0.499984740745262"/>
      </right>
      <top style="thin">
        <color rgb="FF808080"/>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34">
    <xf numFmtId="0" fontId="0" fillId="0" borderId="0"/>
    <xf numFmtId="164" fontId="28" fillId="0" borderId="0" applyFont="0" applyFill="0" applyBorder="0" applyAlignment="0" applyProtection="0"/>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32" fillId="0" borderId="0"/>
    <xf numFmtId="0" fontId="14" fillId="0" borderId="0"/>
    <xf numFmtId="0" fontId="12" fillId="0" borderId="0"/>
    <xf numFmtId="0" fontId="11" fillId="0" borderId="0"/>
    <xf numFmtId="9" fontId="11" fillId="0" borderId="0" applyFont="0" applyFill="0" applyBorder="0" applyAlignment="0" applyProtection="0"/>
    <xf numFmtId="0" fontId="10" fillId="0" borderId="0"/>
    <xf numFmtId="0" fontId="9" fillId="0" borderId="0"/>
    <xf numFmtId="0" fontId="9" fillId="0" borderId="0"/>
    <xf numFmtId="0" fontId="28" fillId="0" borderId="0"/>
    <xf numFmtId="0" fontId="8" fillId="0" borderId="0"/>
    <xf numFmtId="9" fontId="28" fillId="0" borderId="0" applyFont="0" applyFill="0" applyBorder="0" applyAlignment="0" applyProtection="0"/>
    <xf numFmtId="9" fontId="50" fillId="0" borderId="0" applyFont="0" applyFill="0" applyBorder="0" applyAlignment="0" applyProtection="0"/>
    <xf numFmtId="0" fontId="50" fillId="0" borderId="0"/>
    <xf numFmtId="0" fontId="7" fillId="0" borderId="0"/>
    <xf numFmtId="0" fontId="61" fillId="16" borderId="0" applyNumberFormat="0" applyBorder="0" applyAlignment="0" applyProtection="0"/>
    <xf numFmtId="0" fontId="28" fillId="0" borderId="0"/>
    <xf numFmtId="0" fontId="7" fillId="0" borderId="0"/>
    <xf numFmtId="0" fontId="13" fillId="0" borderId="0">
      <alignment vertical="center"/>
    </xf>
    <xf numFmtId="178" fontId="13" fillId="0" borderId="0" applyFont="0" applyFill="0" applyBorder="0" applyAlignment="0" applyProtection="0">
      <alignment vertical="center"/>
    </xf>
    <xf numFmtId="9" fontId="13" fillId="0" borderId="0" applyFont="0" applyFill="0" applyBorder="0" applyAlignment="0" applyProtection="0"/>
    <xf numFmtId="0" fontId="6" fillId="0" borderId="0"/>
    <xf numFmtId="43" fontId="28" fillId="0" borderId="0" applyFont="0" applyFill="0" applyBorder="0" applyAlignment="0" applyProtection="0"/>
    <xf numFmtId="0" fontId="5" fillId="0" borderId="0"/>
    <xf numFmtId="0" fontId="71" fillId="0" borderId="0" applyNumberFormat="0" applyFill="0" applyBorder="0" applyAlignment="0" applyProtection="0"/>
    <xf numFmtId="0" fontId="2" fillId="0" borderId="0"/>
    <xf numFmtId="0" fontId="77" fillId="0" borderId="0"/>
    <xf numFmtId="164" fontId="2" fillId="0" borderId="0" applyFont="0" applyFill="0" applyBorder="0" applyAlignment="0" applyProtection="0"/>
    <xf numFmtId="0" fontId="92" fillId="0" borderId="0" applyNumberFormat="0" applyFill="0" applyBorder="0" applyAlignment="0" applyProtection="0"/>
    <xf numFmtId="43" fontId="50" fillId="0" borderId="0" applyFont="0" applyFill="0" applyBorder="0" applyAlignment="0" applyProtection="0"/>
  </cellStyleXfs>
  <cellXfs count="867">
    <xf numFmtId="0" fontId="0" fillId="0" borderId="0" xfId="0"/>
    <xf numFmtId="0" fontId="14" fillId="5" borderId="0" xfId="0" applyFont="1" applyFill="1" applyProtection="1">
      <protection hidden="1"/>
    </xf>
    <xf numFmtId="0" fontId="16" fillId="6" borderId="0" xfId="0" applyFont="1" applyFill="1" applyProtection="1">
      <protection hidden="1"/>
    </xf>
    <xf numFmtId="0" fontId="14" fillId="6" borderId="0" xfId="0" applyFont="1" applyFill="1" applyProtection="1">
      <protection hidden="1"/>
    </xf>
    <xf numFmtId="0" fontId="17" fillId="6" borderId="0" xfId="0" applyFont="1" applyFill="1" applyAlignment="1" applyProtection="1">
      <alignment vertical="top" wrapText="1"/>
      <protection hidden="1"/>
    </xf>
    <xf numFmtId="0" fontId="19" fillId="5" borderId="0" xfId="0" applyFont="1" applyFill="1" applyProtection="1">
      <protection hidden="1"/>
    </xf>
    <xf numFmtId="0" fontId="22" fillId="5" borderId="0" xfId="0" applyFont="1" applyFill="1" applyAlignment="1" applyProtection="1">
      <alignment vertical="top"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vertical="center"/>
      <protection hidden="1"/>
    </xf>
    <xf numFmtId="0" fontId="27" fillId="5" borderId="0" xfId="0" applyFont="1" applyFill="1" applyAlignment="1" applyProtection="1">
      <alignment vertical="center" wrapText="1"/>
      <protection hidden="1"/>
    </xf>
    <xf numFmtId="0" fontId="14" fillId="5" borderId="0" xfId="0" applyFont="1" applyFill="1" applyAlignment="1" applyProtection="1">
      <alignment vertical="center" wrapText="1"/>
      <protection hidden="1"/>
    </xf>
    <xf numFmtId="0" fontId="27" fillId="5" borderId="0" xfId="0" applyFont="1" applyFill="1" applyAlignment="1" applyProtection="1">
      <alignment horizontal="left" vertical="center"/>
      <protection hidden="1"/>
    </xf>
    <xf numFmtId="0" fontId="14" fillId="5" borderId="0" xfId="0" applyFont="1" applyFill="1" applyAlignment="1" applyProtection="1">
      <alignment horizontal="right" vertical="center" wrapText="1"/>
      <protection hidden="1"/>
    </xf>
    <xf numFmtId="0" fontId="27" fillId="5" borderId="0" xfId="0" applyFont="1" applyFill="1" applyAlignment="1" applyProtection="1">
      <alignment horizontal="right" vertical="center"/>
      <protection hidden="1"/>
    </xf>
    <xf numFmtId="0" fontId="14" fillId="7" borderId="0" xfId="0" applyFont="1" applyFill="1" applyAlignment="1" applyProtection="1">
      <alignment horizontal="center"/>
      <protection hidden="1"/>
    </xf>
    <xf numFmtId="0" fontId="27" fillId="7" borderId="0" xfId="0" applyFont="1" applyFill="1" applyAlignment="1" applyProtection="1">
      <alignment horizontal="left"/>
      <protection hidden="1"/>
    </xf>
    <xf numFmtId="0" fontId="22" fillId="5" borderId="0" xfId="0" applyFont="1" applyFill="1" applyAlignment="1" applyProtection="1">
      <alignment horizontal="left"/>
      <protection hidden="1"/>
    </xf>
    <xf numFmtId="0" fontId="14" fillId="5" borderId="0" xfId="0" applyFont="1" applyFill="1" applyAlignment="1" applyProtection="1">
      <alignment horizontal="right" vertical="center"/>
      <protection hidden="1"/>
    </xf>
    <xf numFmtId="0" fontId="27" fillId="9" borderId="1" xfId="0" applyFont="1" applyFill="1" applyBorder="1" applyAlignment="1" applyProtection="1">
      <alignment vertical="center"/>
      <protection hidden="1"/>
    </xf>
    <xf numFmtId="9" fontId="29" fillId="9" borderId="1" xfId="0" applyNumberFormat="1" applyFont="1" applyFill="1" applyBorder="1" applyAlignment="1" applyProtection="1">
      <alignment horizontal="left" vertical="center"/>
      <protection hidden="1"/>
    </xf>
    <xf numFmtId="0" fontId="27" fillId="9" borderId="0" xfId="0" applyFont="1" applyFill="1" applyAlignment="1" applyProtection="1">
      <alignment horizontal="right" vertical="center"/>
      <protection hidden="1"/>
    </xf>
    <xf numFmtId="0" fontId="27" fillId="9" borderId="2" xfId="0" applyFont="1" applyFill="1" applyBorder="1" applyAlignment="1" applyProtection="1">
      <alignment horizontal="right" vertical="center"/>
      <protection hidden="1"/>
    </xf>
    <xf numFmtId="0" fontId="14" fillId="5" borderId="0" xfId="13" applyFont="1" applyFill="1" applyProtection="1">
      <protection hidden="1"/>
    </xf>
    <xf numFmtId="0" fontId="22" fillId="5" borderId="0" xfId="13" applyFont="1" applyFill="1" applyProtection="1">
      <protection hidden="1"/>
    </xf>
    <xf numFmtId="0" fontId="22" fillId="7" borderId="0" xfId="13" applyFont="1" applyFill="1" applyAlignment="1" applyProtection="1">
      <alignment vertical="center"/>
      <protection hidden="1"/>
    </xf>
    <xf numFmtId="9" fontId="29" fillId="7" borderId="0" xfId="13" applyNumberFormat="1" applyFont="1" applyFill="1" applyAlignment="1" applyProtection="1">
      <alignment horizontal="left" vertical="top"/>
      <protection hidden="1"/>
    </xf>
    <xf numFmtId="0" fontId="25" fillId="7" borderId="0" xfId="13" applyFont="1" applyFill="1" applyAlignment="1" applyProtection="1">
      <alignment horizontal="left" vertical="center"/>
      <protection hidden="1"/>
    </xf>
    <xf numFmtId="0" fontId="27" fillId="7" borderId="0" xfId="13" applyFont="1" applyFill="1" applyAlignment="1" applyProtection="1">
      <alignment horizontal="left"/>
      <protection hidden="1"/>
    </xf>
    <xf numFmtId="0" fontId="14" fillId="7" borderId="0" xfId="13" applyFont="1" applyFill="1" applyAlignment="1" applyProtection="1">
      <alignment horizontal="left"/>
      <protection hidden="1"/>
    </xf>
    <xf numFmtId="0" fontId="22" fillId="7" borderId="0" xfId="13" applyFont="1" applyFill="1" applyAlignment="1" applyProtection="1">
      <alignment horizontal="left"/>
      <protection hidden="1"/>
    </xf>
    <xf numFmtId="168" fontId="14" fillId="7" borderId="0" xfId="13" applyNumberFormat="1" applyFont="1" applyFill="1" applyAlignment="1" applyProtection="1">
      <alignment horizontal="right"/>
      <protection hidden="1"/>
    </xf>
    <xf numFmtId="0" fontId="22" fillId="7" borderId="0" xfId="13" applyFont="1" applyFill="1" applyProtection="1">
      <protection hidden="1"/>
    </xf>
    <xf numFmtId="0" fontId="39" fillId="7" borderId="0" xfId="13" applyFont="1" applyFill="1" applyProtection="1">
      <protection hidden="1"/>
    </xf>
    <xf numFmtId="0" fontId="39" fillId="7" borderId="0" xfId="13" applyFont="1" applyFill="1" applyAlignment="1" applyProtection="1">
      <alignment horizontal="left"/>
      <protection hidden="1"/>
    </xf>
    <xf numFmtId="0" fontId="41" fillId="7" borderId="0" xfId="13" applyFont="1" applyFill="1" applyAlignment="1" applyProtection="1">
      <alignment vertical="top"/>
      <protection hidden="1"/>
    </xf>
    <xf numFmtId="0" fontId="42" fillId="7" borderId="0" xfId="13" applyFont="1" applyFill="1" applyProtection="1">
      <protection hidden="1"/>
    </xf>
    <xf numFmtId="0" fontId="53" fillId="5" borderId="0" xfId="0" applyFont="1" applyFill="1" applyProtection="1">
      <protection hidden="1"/>
    </xf>
    <xf numFmtId="0" fontId="54" fillId="5" borderId="0" xfId="0" applyFont="1" applyFill="1" applyProtection="1">
      <protection hidden="1"/>
    </xf>
    <xf numFmtId="0" fontId="56" fillId="5" borderId="0" xfId="0" applyFont="1" applyFill="1" applyProtection="1">
      <protection hidden="1"/>
    </xf>
    <xf numFmtId="0" fontId="56" fillId="14" borderId="0" xfId="0" applyFont="1" applyFill="1" applyAlignment="1" applyProtection="1">
      <alignment wrapText="1"/>
      <protection hidden="1"/>
    </xf>
    <xf numFmtId="0" fontId="53" fillId="14" borderId="0" xfId="0" applyFont="1" applyFill="1" applyAlignment="1" applyProtection="1">
      <alignment wrapText="1"/>
      <protection hidden="1"/>
    </xf>
    <xf numFmtId="0" fontId="51" fillId="9" borderId="2" xfId="0" applyFont="1" applyFill="1" applyBorder="1" applyAlignment="1" applyProtection="1">
      <alignment horizontal="right" vertical="center" wrapText="1"/>
      <protection hidden="1"/>
    </xf>
    <xf numFmtId="3" fontId="54" fillId="10" borderId="0" xfId="0" applyNumberFormat="1" applyFont="1" applyFill="1" applyAlignment="1" applyProtection="1">
      <alignment vertical="center"/>
      <protection hidden="1"/>
    </xf>
    <xf numFmtId="9" fontId="54" fillId="8" borderId="9" xfId="0" applyNumberFormat="1" applyFont="1" applyFill="1" applyBorder="1" applyAlignment="1" applyProtection="1">
      <alignment vertical="center"/>
      <protection locked="0"/>
    </xf>
    <xf numFmtId="3" fontId="53" fillId="5" borderId="0" xfId="0" applyNumberFormat="1" applyFont="1" applyFill="1" applyProtection="1">
      <protection hidden="1"/>
    </xf>
    <xf numFmtId="0" fontId="56" fillId="5" borderId="0" xfId="0" applyFont="1" applyFill="1" applyAlignment="1" applyProtection="1">
      <alignment horizontal="right"/>
      <protection hidden="1"/>
    </xf>
    <xf numFmtId="2" fontId="56" fillId="5" borderId="0" xfId="0" applyNumberFormat="1" applyFont="1" applyFill="1" applyAlignment="1" applyProtection="1">
      <alignment horizontal="right"/>
      <protection hidden="1"/>
    </xf>
    <xf numFmtId="170" fontId="53" fillId="5" borderId="0" xfId="0" applyNumberFormat="1" applyFont="1" applyFill="1" applyProtection="1">
      <protection hidden="1"/>
    </xf>
    <xf numFmtId="172" fontId="53" fillId="5" borderId="0" xfId="0" applyNumberFormat="1" applyFont="1" applyFill="1" applyProtection="1">
      <protection hidden="1"/>
    </xf>
    <xf numFmtId="0" fontId="53" fillId="5" borderId="0" xfId="0" applyFont="1" applyFill="1"/>
    <xf numFmtId="0" fontId="58" fillId="5" borderId="0" xfId="0" applyFont="1" applyFill="1" applyAlignment="1" applyProtection="1">
      <alignment horizontal="right"/>
      <protection hidden="1"/>
    </xf>
    <xf numFmtId="0" fontId="25" fillId="7" borderId="1" xfId="13" applyFont="1" applyFill="1" applyBorder="1" applyAlignment="1" applyProtection="1">
      <alignment horizontal="left" vertical="center"/>
      <protection hidden="1"/>
    </xf>
    <xf numFmtId="0" fontId="20" fillId="5" borderId="0" xfId="0" applyFont="1" applyFill="1" applyAlignment="1" applyProtection="1">
      <alignment horizontal="left"/>
      <protection hidden="1"/>
    </xf>
    <xf numFmtId="167" fontId="21" fillId="5" borderId="0" xfId="0" applyNumberFormat="1" applyFont="1" applyFill="1" applyAlignment="1" applyProtection="1">
      <alignment horizontal="left"/>
      <protection hidden="1"/>
    </xf>
    <xf numFmtId="17" fontId="21" fillId="5" borderId="0" xfId="0" applyNumberFormat="1" applyFont="1" applyFill="1" applyAlignment="1" applyProtection="1">
      <alignment horizontal="left"/>
      <protection hidden="1"/>
    </xf>
    <xf numFmtId="0" fontId="22" fillId="5" borderId="0" xfId="0" applyFont="1" applyFill="1" applyProtection="1">
      <protection hidden="1"/>
    </xf>
    <xf numFmtId="0" fontId="25" fillId="7" borderId="0" xfId="0" applyFont="1" applyFill="1" applyProtection="1">
      <protection hidden="1"/>
    </xf>
    <xf numFmtId="0" fontId="22" fillId="7" borderId="0" xfId="0" applyFont="1" applyFill="1" applyAlignment="1" applyProtection="1">
      <alignment vertical="center"/>
      <protection hidden="1"/>
    </xf>
    <xf numFmtId="9" fontId="29" fillId="7" borderId="0" xfId="0" applyNumberFormat="1" applyFont="1" applyFill="1" applyAlignment="1" applyProtection="1">
      <alignment horizontal="left" vertical="top"/>
      <protection hidden="1"/>
    </xf>
    <xf numFmtId="0" fontId="27" fillId="5" borderId="1" xfId="0" applyFont="1" applyFill="1" applyBorder="1" applyAlignment="1" applyProtection="1">
      <alignment vertical="center"/>
      <protection hidden="1"/>
    </xf>
    <xf numFmtId="9" fontId="29" fillId="5" borderId="1" xfId="0" applyNumberFormat="1" applyFont="1" applyFill="1" applyBorder="1" applyAlignment="1" applyProtection="1">
      <alignment horizontal="left" vertical="center"/>
      <protection hidden="1"/>
    </xf>
    <xf numFmtId="0" fontId="27" fillId="5" borderId="2" xfId="0" applyFont="1" applyFill="1" applyBorder="1" applyAlignment="1" applyProtection="1">
      <alignment horizontal="right" vertical="center"/>
      <protection hidden="1"/>
    </xf>
    <xf numFmtId="0" fontId="27" fillId="5" borderId="3" xfId="0" applyFont="1" applyFill="1" applyBorder="1" applyAlignment="1" applyProtection="1">
      <alignment horizontal="right" vertical="center"/>
      <protection hidden="1"/>
    </xf>
    <xf numFmtId="0" fontId="27" fillId="5" borderId="4" xfId="0" applyFont="1" applyFill="1" applyBorder="1" applyAlignment="1" applyProtection="1">
      <alignment horizontal="right" vertical="center"/>
      <protection hidden="1"/>
    </xf>
    <xf numFmtId="0" fontId="27" fillId="5" borderId="5" xfId="0" applyFont="1" applyFill="1" applyBorder="1" applyAlignment="1" applyProtection="1">
      <alignment horizontal="right" vertical="center"/>
      <protection hidden="1"/>
    </xf>
    <xf numFmtId="165" fontId="30" fillId="7" borderId="0" xfId="1" applyNumberFormat="1" applyFont="1" applyFill="1" applyBorder="1" applyAlignment="1" applyProtection="1">
      <alignment vertical="center"/>
      <protection hidden="1"/>
    </xf>
    <xf numFmtId="0" fontId="22" fillId="5" borderId="0" xfId="0" applyFont="1" applyFill="1" applyAlignment="1" applyProtection="1">
      <alignment horizontal="left" vertical="center"/>
      <protection hidden="1"/>
    </xf>
    <xf numFmtId="0" fontId="30" fillId="7" borderId="0" xfId="0" applyFont="1" applyFill="1" applyAlignment="1" applyProtection="1">
      <alignment horizontal="right"/>
      <protection hidden="1"/>
    </xf>
    <xf numFmtId="0" fontId="14" fillId="5" borderId="0" xfId="0" applyFont="1" applyFill="1" applyAlignment="1" applyProtection="1">
      <alignment horizontal="left" vertical="center"/>
      <protection hidden="1"/>
    </xf>
    <xf numFmtId="0" fontId="27" fillId="5" borderId="0" xfId="0" applyFont="1" applyFill="1" applyProtection="1">
      <protection hidden="1"/>
    </xf>
    <xf numFmtId="0" fontId="0" fillId="5" borderId="0" xfId="0" applyFill="1"/>
    <xf numFmtId="0" fontId="14" fillId="7" borderId="0" xfId="0" applyFont="1" applyFill="1" applyAlignment="1" applyProtection="1">
      <alignment vertical="center"/>
      <protection hidden="1"/>
    </xf>
    <xf numFmtId="0" fontId="27" fillId="5" borderId="3" xfId="0" applyFont="1" applyFill="1" applyBorder="1" applyAlignment="1" applyProtection="1">
      <alignment horizontal="left" vertical="center"/>
      <protection hidden="1"/>
    </xf>
    <xf numFmtId="174" fontId="14" fillId="7" borderId="0" xfId="0" applyNumberFormat="1" applyFont="1" applyFill="1" applyProtection="1">
      <protection hidden="1"/>
    </xf>
    <xf numFmtId="0" fontId="37" fillId="5" borderId="17" xfId="0" applyFont="1" applyFill="1" applyBorder="1" applyAlignment="1" applyProtection="1">
      <alignment vertical="center"/>
      <protection locked="0"/>
    </xf>
    <xf numFmtId="1" fontId="27" fillId="5" borderId="17" xfId="0" applyNumberFormat="1" applyFont="1" applyFill="1" applyBorder="1" applyAlignment="1" applyProtection="1">
      <alignment vertical="center"/>
      <protection locked="0"/>
    </xf>
    <xf numFmtId="0" fontId="22" fillId="7" borderId="0" xfId="0" applyFont="1" applyFill="1" applyProtection="1">
      <protection hidden="1"/>
    </xf>
    <xf numFmtId="0" fontId="27" fillId="5" borderId="20" xfId="13" applyFont="1" applyFill="1" applyBorder="1" applyAlignment="1" applyProtection="1">
      <alignment vertical="center"/>
      <protection hidden="1"/>
    </xf>
    <xf numFmtId="0" fontId="27" fillId="5" borderId="21" xfId="0" applyFont="1" applyFill="1" applyBorder="1" applyAlignment="1" applyProtection="1">
      <alignment vertical="center"/>
      <protection hidden="1"/>
    </xf>
    <xf numFmtId="0" fontId="27" fillId="5" borderId="22" xfId="0" applyFont="1" applyFill="1" applyBorder="1" applyAlignment="1" applyProtection="1">
      <alignment vertical="center"/>
      <protection hidden="1"/>
    </xf>
    <xf numFmtId="0" fontId="27" fillId="5" borderId="26" xfId="0" applyFont="1" applyFill="1" applyBorder="1" applyAlignment="1" applyProtection="1">
      <alignment horizontal="right" vertical="center"/>
      <protection hidden="1"/>
    </xf>
    <xf numFmtId="0" fontId="27" fillId="5" borderId="27" xfId="0" applyFont="1" applyFill="1" applyBorder="1" applyAlignment="1" applyProtection="1">
      <alignment horizontal="right" vertical="center"/>
      <protection hidden="1"/>
    </xf>
    <xf numFmtId="0" fontId="49" fillId="0" borderId="28" xfId="0" applyFont="1" applyBorder="1"/>
    <xf numFmtId="3" fontId="40" fillId="7" borderId="0" xfId="13" applyNumberFormat="1" applyFont="1" applyFill="1" applyAlignment="1" applyProtection="1">
      <alignment vertical="top"/>
      <protection hidden="1"/>
    </xf>
    <xf numFmtId="9" fontId="27" fillId="5" borderId="17" xfId="16" applyFont="1" applyFill="1" applyBorder="1" applyAlignment="1" applyProtection="1">
      <alignment vertical="center"/>
      <protection locked="0"/>
    </xf>
    <xf numFmtId="0" fontId="24" fillId="0" borderId="0" xfId="0" applyFont="1" applyProtection="1">
      <protection hidden="1"/>
    </xf>
    <xf numFmtId="0" fontId="26" fillId="0" borderId="0" xfId="0" applyFont="1" applyProtection="1">
      <protection hidden="1"/>
    </xf>
    <xf numFmtId="0" fontId="22" fillId="5" borderId="31" xfId="0" applyFont="1" applyFill="1" applyBorder="1" applyProtection="1">
      <protection hidden="1"/>
    </xf>
    <xf numFmtId="0" fontId="22" fillId="5" borderId="30" xfId="0" applyFont="1" applyFill="1" applyBorder="1" applyProtection="1">
      <protection hidden="1"/>
    </xf>
    <xf numFmtId="0" fontId="25" fillId="7" borderId="30" xfId="0" applyFont="1" applyFill="1" applyBorder="1" applyProtection="1">
      <protection hidden="1"/>
    </xf>
    <xf numFmtId="0" fontId="14" fillId="5" borderId="30" xfId="0" applyFont="1" applyFill="1" applyBorder="1" applyProtection="1">
      <protection hidden="1"/>
    </xf>
    <xf numFmtId="0" fontId="14" fillId="5" borderId="31" xfId="0" applyFont="1" applyFill="1" applyBorder="1" applyProtection="1">
      <protection hidden="1"/>
    </xf>
    <xf numFmtId="0" fontId="25" fillId="7" borderId="31" xfId="0" applyFont="1" applyFill="1" applyBorder="1" applyProtection="1">
      <protection hidden="1"/>
    </xf>
    <xf numFmtId="0" fontId="39" fillId="7" borderId="30" xfId="13" applyFont="1" applyFill="1" applyBorder="1" applyAlignment="1" applyProtection="1">
      <alignment horizontal="left"/>
      <protection hidden="1"/>
    </xf>
    <xf numFmtId="0" fontId="53" fillId="5" borderId="0" xfId="0" applyFont="1" applyFill="1" applyAlignment="1" applyProtection="1">
      <alignment horizontal="centerContinuous"/>
      <protection hidden="1"/>
    </xf>
    <xf numFmtId="0" fontId="65" fillId="5" borderId="0" xfId="0" applyFont="1" applyFill="1" applyProtection="1">
      <protection hidden="1"/>
    </xf>
    <xf numFmtId="0" fontId="66" fillId="5" borderId="0" xfId="0" applyFont="1" applyFill="1" applyProtection="1">
      <protection hidden="1"/>
    </xf>
    <xf numFmtId="0" fontId="65" fillId="5" borderId="0" xfId="0" applyFont="1" applyFill="1" applyAlignment="1" applyProtection="1">
      <alignment vertical="center"/>
      <protection hidden="1"/>
    </xf>
    <xf numFmtId="167" fontId="66" fillId="7" borderId="0" xfId="13" applyNumberFormat="1" applyFont="1" applyFill="1" applyProtection="1">
      <protection hidden="1"/>
    </xf>
    <xf numFmtId="0" fontId="27" fillId="9" borderId="0" xfId="0" applyFont="1" applyFill="1" applyAlignment="1" applyProtection="1">
      <alignment vertical="center" wrapText="1"/>
      <protection hidden="1"/>
    </xf>
    <xf numFmtId="0" fontId="27" fillId="9" borderId="1" xfId="0" applyFont="1" applyFill="1" applyBorder="1" applyAlignment="1" applyProtection="1">
      <alignment horizontal="right" vertical="center"/>
      <protection hidden="1"/>
    </xf>
    <xf numFmtId="0" fontId="27" fillId="9" borderId="24" xfId="0" applyFont="1" applyFill="1" applyBorder="1" applyAlignment="1" applyProtection="1">
      <alignment horizontal="right" vertical="center"/>
      <protection hidden="1"/>
    </xf>
    <xf numFmtId="0" fontId="27" fillId="9" borderId="22" xfId="0" applyFont="1" applyFill="1" applyBorder="1" applyAlignment="1" applyProtection="1">
      <alignment horizontal="right" vertical="center"/>
      <protection hidden="1"/>
    </xf>
    <xf numFmtId="0" fontId="27" fillId="18" borderId="21" xfId="0" applyFont="1" applyFill="1" applyBorder="1" applyAlignment="1" applyProtection="1">
      <alignment horizontal="right" vertical="center"/>
      <protection hidden="1"/>
    </xf>
    <xf numFmtId="0" fontId="27" fillId="18" borderId="22" xfId="0" applyFont="1" applyFill="1" applyBorder="1" applyAlignment="1" applyProtection="1">
      <alignment horizontal="right" vertical="center"/>
      <protection hidden="1"/>
    </xf>
    <xf numFmtId="0" fontId="27" fillId="18" borderId="23" xfId="0" applyFont="1" applyFill="1" applyBorder="1" applyAlignment="1" applyProtection="1">
      <alignment horizontal="right" vertical="center"/>
      <protection hidden="1"/>
    </xf>
    <xf numFmtId="0" fontId="27" fillId="18" borderId="0" xfId="0" applyFont="1" applyFill="1" applyAlignment="1" applyProtection="1">
      <alignment horizontal="right" vertical="center"/>
      <protection hidden="1"/>
    </xf>
    <xf numFmtId="0" fontId="27" fillId="18" borderId="24" xfId="0" applyFont="1" applyFill="1" applyBorder="1" applyAlignment="1" applyProtection="1">
      <alignment horizontal="right" vertical="center"/>
      <protection hidden="1"/>
    </xf>
    <xf numFmtId="0" fontId="27" fillId="18" borderId="25" xfId="0" applyFont="1" applyFill="1" applyBorder="1" applyAlignment="1" applyProtection="1">
      <alignment horizontal="right" vertical="center"/>
      <protection hidden="1"/>
    </xf>
    <xf numFmtId="0" fontId="27" fillId="18" borderId="26" xfId="0" applyFont="1" applyFill="1" applyBorder="1" applyAlignment="1" applyProtection="1">
      <alignment horizontal="right" vertical="center"/>
      <protection hidden="1"/>
    </xf>
    <xf numFmtId="0" fontId="27" fillId="18" borderId="27" xfId="0" applyFont="1" applyFill="1" applyBorder="1" applyAlignment="1" applyProtection="1">
      <alignment horizontal="right" vertical="center"/>
      <protection hidden="1"/>
    </xf>
    <xf numFmtId="0" fontId="27" fillId="18" borderId="20" xfId="0" applyFont="1" applyFill="1" applyBorder="1" applyAlignment="1" applyProtection="1">
      <alignment horizontal="left" vertical="center"/>
      <protection hidden="1"/>
    </xf>
    <xf numFmtId="0" fontId="27" fillId="9" borderId="20" xfId="0" applyFont="1" applyFill="1" applyBorder="1" applyAlignment="1" applyProtection="1">
      <alignment vertical="center"/>
      <protection hidden="1"/>
    </xf>
    <xf numFmtId="0" fontId="27" fillId="9" borderId="21" xfId="0" applyFont="1" applyFill="1" applyBorder="1" applyAlignment="1" applyProtection="1">
      <alignment vertical="center" wrapText="1"/>
      <protection hidden="1"/>
    </xf>
    <xf numFmtId="0" fontId="27" fillId="18" borderId="23" xfId="0" applyFont="1" applyFill="1" applyBorder="1" applyAlignment="1" applyProtection="1">
      <alignment horizontal="left" vertical="center"/>
      <protection hidden="1"/>
    </xf>
    <xf numFmtId="0" fontId="27" fillId="9" borderId="23" xfId="0" applyFont="1" applyFill="1" applyBorder="1" applyAlignment="1" applyProtection="1">
      <alignment vertical="center"/>
      <protection hidden="1"/>
    </xf>
    <xf numFmtId="0" fontId="53" fillId="5" borderId="19" xfId="0" applyFont="1" applyFill="1" applyBorder="1" applyAlignment="1" applyProtection="1">
      <alignment horizontal="centerContinuous"/>
      <protection hidden="1"/>
    </xf>
    <xf numFmtId="0" fontId="53" fillId="5" borderId="29" xfId="0" applyFont="1" applyFill="1" applyBorder="1" applyAlignment="1" applyProtection="1">
      <alignment horizontal="centerContinuous"/>
      <protection hidden="1"/>
    </xf>
    <xf numFmtId="0" fontId="54" fillId="5" borderId="18" xfId="0" applyFont="1" applyFill="1" applyBorder="1" applyAlignment="1" applyProtection="1">
      <alignment horizontal="centerContinuous"/>
      <protection hidden="1"/>
    </xf>
    <xf numFmtId="0" fontId="54" fillId="5" borderId="29" xfId="0" applyFont="1" applyFill="1" applyBorder="1" applyAlignment="1" applyProtection="1">
      <alignment horizontal="centerContinuous"/>
      <protection hidden="1"/>
    </xf>
    <xf numFmtId="0" fontId="54" fillId="5" borderId="19" xfId="0" applyFont="1" applyFill="1" applyBorder="1" applyAlignment="1" applyProtection="1">
      <alignment horizontal="centerContinuous"/>
      <protection hidden="1"/>
    </xf>
    <xf numFmtId="0" fontId="54" fillId="9" borderId="18" xfId="0" applyFont="1" applyFill="1" applyBorder="1" applyAlignment="1" applyProtection="1">
      <alignment horizontal="centerContinuous" vertical="center"/>
      <protection hidden="1"/>
    </xf>
    <xf numFmtId="9" fontId="55" fillId="9" borderId="32" xfId="0" applyNumberFormat="1" applyFont="1" applyFill="1" applyBorder="1" applyAlignment="1" applyProtection="1">
      <alignment horizontal="centerContinuous" vertical="center"/>
      <protection hidden="1"/>
    </xf>
    <xf numFmtId="0" fontId="54" fillId="9" borderId="32" xfId="0" applyFont="1" applyFill="1" applyBorder="1" applyAlignment="1" applyProtection="1">
      <alignment horizontal="centerContinuous" vertical="center"/>
      <protection hidden="1"/>
    </xf>
    <xf numFmtId="0" fontId="54" fillId="9" borderId="29" xfId="0" applyFont="1" applyFill="1" applyBorder="1" applyAlignment="1" applyProtection="1">
      <alignment horizontal="centerContinuous" vertical="center"/>
      <protection hidden="1"/>
    </xf>
    <xf numFmtId="0" fontId="54" fillId="9" borderId="19" xfId="0" applyFont="1" applyFill="1" applyBorder="1" applyAlignment="1" applyProtection="1">
      <alignment horizontal="centerContinuous" vertical="center"/>
      <protection hidden="1"/>
    </xf>
    <xf numFmtId="172" fontId="54" fillId="10" borderId="0" xfId="0" applyNumberFormat="1" applyFont="1" applyFill="1" applyAlignment="1" applyProtection="1">
      <alignment vertical="center"/>
      <protection hidden="1"/>
    </xf>
    <xf numFmtId="173" fontId="53" fillId="5" borderId="0" xfId="0" applyNumberFormat="1" applyFont="1" applyFill="1" applyProtection="1">
      <protection hidden="1"/>
    </xf>
    <xf numFmtId="0" fontId="27" fillId="14" borderId="20" xfId="0" applyFont="1" applyFill="1" applyBorder="1" applyProtection="1">
      <protection hidden="1"/>
    </xf>
    <xf numFmtId="0" fontId="14" fillId="14" borderId="21" xfId="0" applyFont="1" applyFill="1" applyBorder="1" applyProtection="1">
      <protection hidden="1"/>
    </xf>
    <xf numFmtId="0" fontId="27" fillId="14" borderId="22" xfId="0" applyFont="1" applyFill="1" applyBorder="1" applyAlignment="1" applyProtection="1">
      <alignment horizontal="right" vertical="center"/>
      <protection hidden="1"/>
    </xf>
    <xf numFmtId="0" fontId="14" fillId="14" borderId="23" xfId="0" applyFont="1" applyFill="1" applyBorder="1" applyProtection="1">
      <protection hidden="1"/>
    </xf>
    <xf numFmtId="0" fontId="14" fillId="14" borderId="0" xfId="0" applyFont="1" applyFill="1" applyProtection="1">
      <protection hidden="1"/>
    </xf>
    <xf numFmtId="0" fontId="27" fillId="14" borderId="24" xfId="0" applyFont="1" applyFill="1" applyBorder="1" applyAlignment="1" applyProtection="1">
      <alignment horizontal="right" vertical="center"/>
      <protection hidden="1"/>
    </xf>
    <xf numFmtId="0" fontId="27" fillId="14" borderId="23" xfId="0" applyFont="1" applyFill="1" applyBorder="1" applyProtection="1">
      <protection hidden="1"/>
    </xf>
    <xf numFmtId="0" fontId="14" fillId="14" borderId="25" xfId="0" applyFont="1" applyFill="1" applyBorder="1" applyProtection="1">
      <protection hidden="1"/>
    </xf>
    <xf numFmtId="0" fontId="14" fillId="14" borderId="26" xfId="0" applyFont="1" applyFill="1" applyBorder="1" applyProtection="1">
      <protection hidden="1"/>
    </xf>
    <xf numFmtId="0" fontId="27" fillId="14" borderId="27" xfId="0" applyFont="1" applyFill="1" applyBorder="1" applyAlignment="1" applyProtection="1">
      <alignment horizontal="right" vertical="center"/>
      <protection hidden="1"/>
    </xf>
    <xf numFmtId="177" fontId="67" fillId="19" borderId="17" xfId="1" applyNumberFormat="1" applyFont="1" applyFill="1" applyBorder="1" applyAlignment="1" applyProtection="1">
      <alignment vertical="center"/>
      <protection hidden="1"/>
    </xf>
    <xf numFmtId="164" fontId="67" fillId="19" borderId="17" xfId="1" applyFont="1" applyFill="1" applyBorder="1" applyAlignment="1" applyProtection="1">
      <alignment vertical="center"/>
      <protection hidden="1"/>
    </xf>
    <xf numFmtId="165" fontId="30" fillId="19" borderId="17" xfId="1" applyNumberFormat="1" applyFont="1" applyFill="1" applyBorder="1" applyAlignment="1" applyProtection="1">
      <alignment vertical="center"/>
      <protection hidden="1"/>
    </xf>
    <xf numFmtId="164" fontId="30" fillId="19" borderId="17" xfId="1" applyFont="1" applyFill="1" applyBorder="1" applyAlignment="1" applyProtection="1">
      <alignment vertical="center"/>
      <protection hidden="1"/>
    </xf>
    <xf numFmtId="167" fontId="27" fillId="5" borderId="17" xfId="0" applyNumberFormat="1" applyFont="1" applyFill="1" applyBorder="1" applyAlignment="1" applyProtection="1">
      <alignment vertical="center"/>
      <protection locked="0"/>
    </xf>
    <xf numFmtId="0" fontId="56" fillId="5" borderId="29" xfId="0" applyFont="1" applyFill="1" applyBorder="1" applyAlignment="1" applyProtection="1">
      <alignment horizontal="centerContinuous"/>
      <protection hidden="1"/>
    </xf>
    <xf numFmtId="0" fontId="47" fillId="14" borderId="18" xfId="0" applyFont="1" applyFill="1" applyBorder="1" applyAlignment="1" applyProtection="1">
      <alignment horizontal="left" vertical="center" wrapText="1"/>
      <protection hidden="1"/>
    </xf>
    <xf numFmtId="0" fontId="47" fillId="14" borderId="29" xfId="0" applyFont="1" applyFill="1" applyBorder="1" applyAlignment="1" applyProtection="1">
      <alignment horizontal="left" vertical="center" wrapText="1"/>
      <protection hidden="1"/>
    </xf>
    <xf numFmtId="0" fontId="47" fillId="14" borderId="19" xfId="0" applyFont="1" applyFill="1" applyBorder="1" applyAlignment="1" applyProtection="1">
      <alignment horizontal="left" vertical="center" wrapText="1"/>
      <protection hidden="1"/>
    </xf>
    <xf numFmtId="0" fontId="53" fillId="14" borderId="29" xfId="0" applyFont="1" applyFill="1" applyBorder="1" applyAlignment="1" applyProtection="1">
      <alignment wrapText="1"/>
      <protection hidden="1"/>
    </xf>
    <xf numFmtId="0" fontId="53" fillId="14" borderId="19" xfId="0" applyFont="1" applyFill="1" applyBorder="1" applyAlignment="1" applyProtection="1">
      <alignment wrapText="1"/>
      <protection hidden="1"/>
    </xf>
    <xf numFmtId="0" fontId="53" fillId="14" borderId="18" xfId="0" applyFont="1" applyFill="1" applyBorder="1" applyAlignment="1" applyProtection="1">
      <alignment wrapText="1"/>
      <protection hidden="1"/>
    </xf>
    <xf numFmtId="0" fontId="51" fillId="9" borderId="17" xfId="0" applyFont="1" applyFill="1" applyBorder="1" applyAlignment="1" applyProtection="1">
      <alignment horizontal="left" vertical="center" wrapText="1"/>
      <protection hidden="1"/>
    </xf>
    <xf numFmtId="0" fontId="51" fillId="9" borderId="18" xfId="0" applyFont="1" applyFill="1" applyBorder="1" applyAlignment="1" applyProtection="1">
      <alignment horizontal="left" vertical="center" wrapText="1"/>
      <protection hidden="1"/>
    </xf>
    <xf numFmtId="0" fontId="51" fillId="9" borderId="33" xfId="0" applyFont="1" applyFill="1" applyBorder="1" applyAlignment="1" applyProtection="1">
      <alignment horizontal="left" vertical="center" wrapText="1"/>
      <protection hidden="1"/>
    </xf>
    <xf numFmtId="0" fontId="47" fillId="4" borderId="0" xfId="4" applyFont="1" applyBorder="1" applyAlignment="1">
      <alignment horizontal="left" vertical="center" wrapText="1"/>
    </xf>
    <xf numFmtId="0" fontId="51" fillId="4" borderId="0" xfId="4" applyFont="1" applyBorder="1" applyAlignment="1">
      <alignment horizontal="left" vertical="center" wrapText="1"/>
    </xf>
    <xf numFmtId="0" fontId="18" fillId="6" borderId="0" xfId="0" applyFont="1" applyFill="1" applyAlignment="1" applyProtection="1">
      <alignment vertical="top" wrapText="1"/>
      <protection hidden="1"/>
    </xf>
    <xf numFmtId="165" fontId="68" fillId="7" borderId="0" xfId="1" applyNumberFormat="1" applyFont="1" applyFill="1" applyBorder="1" applyAlignment="1" applyProtection="1">
      <alignment vertical="center"/>
      <protection hidden="1"/>
    </xf>
    <xf numFmtId="176" fontId="67" fillId="19" borderId="17" xfId="1" applyNumberFormat="1" applyFont="1" applyFill="1" applyBorder="1" applyAlignment="1" applyProtection="1">
      <alignment vertical="center"/>
      <protection hidden="1"/>
    </xf>
    <xf numFmtId="0" fontId="69" fillId="0" borderId="0" xfId="5" applyFont="1"/>
    <xf numFmtId="0" fontId="54" fillId="0" borderId="10" xfId="5" applyFont="1" applyBorder="1" applyProtection="1">
      <protection hidden="1"/>
    </xf>
    <xf numFmtId="0" fontId="54" fillId="0" borderId="11" xfId="5" applyFont="1" applyBorder="1" applyProtection="1">
      <protection hidden="1"/>
    </xf>
    <xf numFmtId="0" fontId="54" fillId="0" borderId="7" xfId="5" applyFont="1" applyBorder="1" applyProtection="1">
      <protection hidden="1"/>
    </xf>
    <xf numFmtId="0" fontId="53" fillId="0" borderId="7" xfId="5" applyFont="1" applyBorder="1" applyProtection="1">
      <protection hidden="1"/>
    </xf>
    <xf numFmtId="0" fontId="53" fillId="0" borderId="16" xfId="5" applyFont="1" applyBorder="1" applyProtection="1">
      <protection hidden="1"/>
    </xf>
    <xf numFmtId="0" fontId="54" fillId="0" borderId="16" xfId="5" applyFont="1" applyBorder="1" applyProtection="1">
      <protection hidden="1"/>
    </xf>
    <xf numFmtId="0" fontId="54" fillId="0" borderId="0" xfId="5" applyFont="1" applyProtection="1">
      <protection hidden="1"/>
    </xf>
    <xf numFmtId="0" fontId="53" fillId="0" borderId="0" xfId="5" applyFont="1" applyProtection="1">
      <protection hidden="1"/>
    </xf>
    <xf numFmtId="2" fontId="53" fillId="0" borderId="7" xfId="5" applyNumberFormat="1" applyFont="1" applyBorder="1" applyProtection="1">
      <protection hidden="1"/>
    </xf>
    <xf numFmtId="0" fontId="47" fillId="0" borderId="0" xfId="5" applyFont="1"/>
    <xf numFmtId="3" fontId="56" fillId="5" borderId="0" xfId="0" applyNumberFormat="1" applyFont="1" applyFill="1" applyAlignment="1" applyProtection="1">
      <alignment horizontal="right"/>
      <protection hidden="1"/>
    </xf>
    <xf numFmtId="177" fontId="30" fillId="19" borderId="17" xfId="1" applyNumberFormat="1" applyFont="1" applyFill="1" applyBorder="1" applyAlignment="1" applyProtection="1">
      <alignment vertical="center"/>
      <protection hidden="1"/>
    </xf>
    <xf numFmtId="0" fontId="63" fillId="5" borderId="3" xfId="0" applyFont="1" applyFill="1" applyBorder="1" applyAlignment="1" applyProtection="1">
      <alignment horizontal="left" vertical="center"/>
      <protection hidden="1"/>
    </xf>
    <xf numFmtId="3" fontId="27" fillId="5" borderId="17" xfId="0" applyNumberFormat="1" applyFont="1" applyFill="1" applyBorder="1" applyAlignment="1" applyProtection="1">
      <alignment vertical="center"/>
      <protection locked="0"/>
    </xf>
    <xf numFmtId="170" fontId="27" fillId="5" borderId="17" xfId="0" applyNumberFormat="1" applyFont="1" applyFill="1" applyBorder="1" applyAlignment="1" applyProtection="1">
      <alignment vertical="center"/>
      <protection locked="0"/>
    </xf>
    <xf numFmtId="0" fontId="53" fillId="5" borderId="21" xfId="0" applyFont="1" applyFill="1" applyBorder="1" applyAlignment="1" applyProtection="1">
      <alignment horizontal="centerContinuous"/>
      <protection hidden="1"/>
    </xf>
    <xf numFmtId="0" fontId="53" fillId="14" borderId="21" xfId="0" applyFont="1" applyFill="1" applyBorder="1" applyAlignment="1" applyProtection="1">
      <alignment wrapText="1"/>
      <protection hidden="1"/>
    </xf>
    <xf numFmtId="0" fontId="53" fillId="14" borderId="22" xfId="0" applyFont="1" applyFill="1" applyBorder="1" applyAlignment="1" applyProtection="1">
      <alignment wrapText="1"/>
      <protection hidden="1"/>
    </xf>
    <xf numFmtId="0" fontId="54" fillId="9" borderId="20" xfId="0" applyFont="1" applyFill="1" applyBorder="1" applyAlignment="1" applyProtection="1">
      <alignment horizontal="centerContinuous" vertical="center"/>
      <protection hidden="1"/>
    </xf>
    <xf numFmtId="9" fontId="55" fillId="9" borderId="34" xfId="0" applyNumberFormat="1" applyFont="1" applyFill="1" applyBorder="1" applyAlignment="1" applyProtection="1">
      <alignment horizontal="centerContinuous" vertical="center"/>
      <protection hidden="1"/>
    </xf>
    <xf numFmtId="0" fontId="54" fillId="9" borderId="34" xfId="0" applyFont="1" applyFill="1" applyBorder="1" applyAlignment="1" applyProtection="1">
      <alignment horizontal="centerContinuous" vertical="center"/>
      <protection hidden="1"/>
    </xf>
    <xf numFmtId="0" fontId="54" fillId="9" borderId="22" xfId="0" applyFont="1" applyFill="1" applyBorder="1" applyAlignment="1" applyProtection="1">
      <alignment horizontal="centerContinuous" vertical="center"/>
      <protection hidden="1"/>
    </xf>
    <xf numFmtId="0" fontId="54" fillId="9" borderId="35" xfId="0" applyFont="1" applyFill="1" applyBorder="1" applyAlignment="1" applyProtection="1">
      <alignment horizontal="left" vertical="center" wrapText="1"/>
      <protection hidden="1"/>
    </xf>
    <xf numFmtId="0" fontId="54" fillId="9" borderId="36" xfId="0" applyFont="1" applyFill="1" applyBorder="1" applyAlignment="1" applyProtection="1">
      <alignment horizontal="left" vertical="center" wrapText="1"/>
      <protection hidden="1"/>
    </xf>
    <xf numFmtId="0" fontId="51" fillId="9" borderId="25" xfId="0" applyFont="1" applyFill="1" applyBorder="1" applyAlignment="1" applyProtection="1">
      <alignment horizontal="left" vertical="center" wrapText="1"/>
      <protection hidden="1"/>
    </xf>
    <xf numFmtId="0" fontId="51" fillId="9" borderId="37" xfId="0" applyFont="1" applyFill="1" applyBorder="1" applyAlignment="1" applyProtection="1">
      <alignment horizontal="left" vertical="center" wrapText="1"/>
      <protection hidden="1"/>
    </xf>
    <xf numFmtId="0" fontId="54" fillId="9" borderId="20" xfId="0" applyFont="1" applyFill="1" applyBorder="1" applyAlignment="1" applyProtection="1">
      <alignment horizontal="left" vertical="center" wrapText="1"/>
      <protection hidden="1"/>
    </xf>
    <xf numFmtId="0" fontId="54" fillId="9" borderId="21" xfId="0" applyFont="1" applyFill="1" applyBorder="1" applyAlignment="1" applyProtection="1">
      <alignment horizontal="left" vertical="center" wrapText="1"/>
      <protection hidden="1"/>
    </xf>
    <xf numFmtId="0" fontId="53" fillId="14" borderId="20" xfId="0" applyFont="1" applyFill="1" applyBorder="1" applyAlignment="1" applyProtection="1">
      <alignment wrapText="1"/>
      <protection hidden="1"/>
    </xf>
    <xf numFmtId="0" fontId="51" fillId="14" borderId="29" xfId="0" applyFont="1" applyFill="1" applyBorder="1" applyAlignment="1" applyProtection="1">
      <alignment horizontal="left" vertical="center" wrapText="1"/>
      <protection hidden="1"/>
    </xf>
    <xf numFmtId="0" fontId="51" fillId="14" borderId="19" xfId="0" applyFont="1" applyFill="1" applyBorder="1" applyAlignment="1" applyProtection="1">
      <alignment horizontal="left" vertical="center" wrapText="1"/>
      <protection hidden="1"/>
    </xf>
    <xf numFmtId="0" fontId="53" fillId="5" borderId="18" xfId="0" applyFont="1" applyFill="1" applyBorder="1" applyProtection="1">
      <protection hidden="1"/>
    </xf>
    <xf numFmtId="0" fontId="53" fillId="5" borderId="29" xfId="0" applyFont="1" applyFill="1" applyBorder="1" applyProtection="1">
      <protection hidden="1"/>
    </xf>
    <xf numFmtId="0" fontId="53" fillId="5" borderId="19" xfId="0" applyFont="1" applyFill="1" applyBorder="1" applyProtection="1">
      <protection hidden="1"/>
    </xf>
    <xf numFmtId="0" fontId="54" fillId="9" borderId="38" xfId="0" applyFont="1" applyFill="1" applyBorder="1" applyAlignment="1" applyProtection="1">
      <alignment horizontal="left" vertical="center" wrapText="1"/>
      <protection hidden="1"/>
    </xf>
    <xf numFmtId="0" fontId="51" fillId="9" borderId="39" xfId="0" applyFont="1" applyFill="1" applyBorder="1" applyAlignment="1" applyProtection="1">
      <alignment horizontal="left" vertical="center" wrapText="1"/>
      <protection hidden="1"/>
    </xf>
    <xf numFmtId="0" fontId="53" fillId="6" borderId="29" xfId="0" applyFont="1" applyFill="1" applyBorder="1" applyAlignment="1" applyProtection="1">
      <alignment horizontal="centerContinuous"/>
      <protection hidden="1"/>
    </xf>
    <xf numFmtId="0" fontId="53" fillId="6" borderId="19" xfId="0" applyFont="1" applyFill="1" applyBorder="1" applyAlignment="1" applyProtection="1">
      <alignment horizontal="centerContinuous"/>
      <protection hidden="1"/>
    </xf>
    <xf numFmtId="0" fontId="53" fillId="5" borderId="20" xfId="0" applyFont="1" applyFill="1" applyBorder="1" applyProtection="1">
      <protection hidden="1"/>
    </xf>
    <xf numFmtId="0" fontId="53" fillId="5" borderId="22" xfId="0" applyFont="1" applyFill="1" applyBorder="1" applyProtection="1">
      <protection hidden="1"/>
    </xf>
    <xf numFmtId="0" fontId="51" fillId="14" borderId="25" xfId="0" applyFont="1" applyFill="1" applyBorder="1" applyAlignment="1" applyProtection="1">
      <alignment horizontal="left" vertical="center" wrapText="1"/>
      <protection hidden="1"/>
    </xf>
    <xf numFmtId="0" fontId="51" fillId="14" borderId="27" xfId="0" applyFont="1" applyFill="1" applyBorder="1" applyAlignment="1" applyProtection="1">
      <alignment horizontal="left" vertical="center" wrapText="1"/>
      <protection hidden="1"/>
    </xf>
    <xf numFmtId="0" fontId="54" fillId="6" borderId="18" xfId="0" applyFont="1" applyFill="1" applyBorder="1" applyAlignment="1" applyProtection="1">
      <alignment horizontal="centerContinuous"/>
      <protection hidden="1"/>
    </xf>
    <xf numFmtId="0" fontId="54" fillId="6" borderId="18" xfId="0" applyFont="1" applyFill="1" applyBorder="1" applyAlignment="1" applyProtection="1">
      <alignment vertical="center"/>
      <protection hidden="1"/>
    </xf>
    <xf numFmtId="0" fontId="53" fillId="11" borderId="19" xfId="0" applyFont="1" applyFill="1" applyBorder="1" applyAlignment="1" applyProtection="1">
      <alignment horizontal="centerContinuous"/>
      <protection hidden="1"/>
    </xf>
    <xf numFmtId="0" fontId="54" fillId="10" borderId="18" xfId="0" applyFont="1" applyFill="1" applyBorder="1" applyAlignment="1" applyProtection="1">
      <alignment horizontal="centerContinuous"/>
      <protection hidden="1"/>
    </xf>
    <xf numFmtId="0" fontId="54" fillId="10" borderId="29" xfId="0" applyFont="1" applyFill="1" applyBorder="1" applyAlignment="1" applyProtection="1">
      <alignment horizontal="centerContinuous"/>
      <protection hidden="1"/>
    </xf>
    <xf numFmtId="0" fontId="54" fillId="11" borderId="18" xfId="0" applyFont="1" applyFill="1" applyBorder="1" applyAlignment="1" applyProtection="1">
      <alignment horizontal="centerContinuous"/>
      <protection hidden="1"/>
    </xf>
    <xf numFmtId="0" fontId="54" fillId="5" borderId="20" xfId="0" applyFont="1" applyFill="1" applyBorder="1" applyProtection="1">
      <protection hidden="1"/>
    </xf>
    <xf numFmtId="0" fontId="54" fillId="5" borderId="21" xfId="0" applyFont="1" applyFill="1" applyBorder="1" applyAlignment="1" applyProtection="1">
      <alignment horizontal="centerContinuous"/>
      <protection hidden="1"/>
    </xf>
    <xf numFmtId="0" fontId="0" fillId="5" borderId="29" xfId="0" applyFill="1" applyBorder="1" applyAlignment="1">
      <alignment horizontal="centerContinuous"/>
    </xf>
    <xf numFmtId="0" fontId="54" fillId="6" borderId="18" xfId="0" applyFont="1" applyFill="1" applyBorder="1" applyAlignment="1" applyProtection="1">
      <alignment horizontal="centerContinuous" vertical="center"/>
      <protection hidden="1"/>
    </xf>
    <xf numFmtId="0" fontId="51" fillId="9" borderId="0" xfId="0" applyFont="1" applyFill="1" applyAlignment="1" applyProtection="1">
      <alignment horizontal="right" vertical="center" wrapText="1"/>
      <protection hidden="1"/>
    </xf>
    <xf numFmtId="0" fontId="51" fillId="14" borderId="18" xfId="0" applyFont="1" applyFill="1" applyBorder="1" applyAlignment="1" applyProtection="1">
      <alignment horizontal="left" vertical="center" wrapText="1"/>
      <protection hidden="1"/>
    </xf>
    <xf numFmtId="0" fontId="54" fillId="9" borderId="21" xfId="0" applyFont="1" applyFill="1" applyBorder="1" applyAlignment="1" applyProtection="1">
      <alignment horizontal="centerContinuous" vertical="center"/>
      <protection hidden="1"/>
    </xf>
    <xf numFmtId="0" fontId="54" fillId="9" borderId="22" xfId="0" applyFont="1" applyFill="1" applyBorder="1" applyAlignment="1" applyProtection="1">
      <alignment horizontal="left" vertical="center" wrapText="1"/>
      <protection hidden="1"/>
    </xf>
    <xf numFmtId="0" fontId="51" fillId="9" borderId="29" xfId="0" applyFont="1" applyFill="1" applyBorder="1" applyAlignment="1" applyProtection="1">
      <alignment horizontal="left" vertical="center" wrapText="1"/>
      <protection hidden="1"/>
    </xf>
    <xf numFmtId="0" fontId="51" fillId="9" borderId="19" xfId="0" applyFont="1" applyFill="1" applyBorder="1" applyAlignment="1" applyProtection="1">
      <alignment horizontal="left" vertical="center" wrapText="1"/>
      <protection hidden="1"/>
    </xf>
    <xf numFmtId="0" fontId="47" fillId="14" borderId="29" xfId="0" applyFont="1" applyFill="1" applyBorder="1" applyAlignment="1" applyProtection="1">
      <alignment vertical="center" wrapText="1"/>
      <protection hidden="1"/>
    </xf>
    <xf numFmtId="0" fontId="59" fillId="14" borderId="29" xfId="0" applyFont="1" applyFill="1" applyBorder="1" applyAlignment="1" applyProtection="1">
      <alignment horizontal="left" vertical="center" wrapText="1"/>
      <protection hidden="1"/>
    </xf>
    <xf numFmtId="0" fontId="47" fillId="4" borderId="18" xfId="4" applyFont="1" applyBorder="1" applyAlignment="1">
      <alignment horizontal="left" vertical="center" wrapText="1"/>
    </xf>
    <xf numFmtId="0" fontId="47" fillId="4" borderId="29" xfId="4" applyFont="1" applyBorder="1" applyAlignment="1">
      <alignment horizontal="left" vertical="center" wrapText="1"/>
    </xf>
    <xf numFmtId="0" fontId="47" fillId="4" borderId="19" xfId="4" applyFont="1" applyBorder="1" applyAlignment="1">
      <alignment horizontal="left" vertical="center" wrapText="1"/>
    </xf>
    <xf numFmtId="0" fontId="57" fillId="5" borderId="18" xfId="0" applyFont="1" applyFill="1" applyBorder="1" applyAlignment="1" applyProtection="1">
      <alignment horizontal="centerContinuous"/>
      <protection hidden="1"/>
    </xf>
    <xf numFmtId="0" fontId="57" fillId="5" borderId="29" xfId="0" applyFont="1" applyFill="1" applyBorder="1" applyAlignment="1" applyProtection="1">
      <alignment horizontal="centerContinuous"/>
      <protection hidden="1"/>
    </xf>
    <xf numFmtId="0" fontId="47" fillId="4" borderId="20" xfId="4" applyFont="1" applyBorder="1" applyAlignment="1">
      <alignment horizontal="left" vertical="center" wrapText="1"/>
    </xf>
    <xf numFmtId="0" fontId="47" fillId="4" borderId="21" xfId="4" applyFont="1" applyBorder="1" applyAlignment="1">
      <alignment horizontal="left" vertical="center" wrapText="1"/>
    </xf>
    <xf numFmtId="0" fontId="47" fillId="4" borderId="22" xfId="4" applyFont="1" applyBorder="1" applyAlignment="1">
      <alignment horizontal="left" vertical="center" wrapText="1"/>
    </xf>
    <xf numFmtId="0" fontId="47" fillId="2" borderId="20" xfId="2" applyFont="1" applyBorder="1" applyAlignment="1">
      <alignment horizontal="left" vertical="center" wrapText="1"/>
    </xf>
    <xf numFmtId="0" fontId="47" fillId="2" borderId="21" xfId="2" applyFont="1" applyBorder="1" applyAlignment="1">
      <alignment horizontal="left" vertical="center" wrapText="1"/>
    </xf>
    <xf numFmtId="0" fontId="47" fillId="2" borderId="22" xfId="2" applyFont="1" applyBorder="1" applyAlignment="1">
      <alignment horizontal="left" vertical="center" wrapText="1"/>
    </xf>
    <xf numFmtId="0" fontId="47" fillId="3" borderId="21" xfId="3" applyFont="1" applyBorder="1" applyAlignment="1">
      <alignment horizontal="left" vertical="center" wrapText="1"/>
    </xf>
    <xf numFmtId="0" fontId="47" fillId="3" borderId="22" xfId="3" applyFont="1" applyBorder="1" applyAlignment="1">
      <alignment horizontal="left" vertical="center" wrapText="1"/>
    </xf>
    <xf numFmtId="0" fontId="51" fillId="4" borderId="20" xfId="4" applyFont="1" applyBorder="1" applyAlignment="1">
      <alignment horizontal="left" vertical="center" wrapText="1"/>
    </xf>
    <xf numFmtId="0" fontId="51" fillId="4" borderId="21" xfId="4" applyFont="1" applyBorder="1" applyAlignment="1">
      <alignment horizontal="left" vertical="center" wrapText="1"/>
    </xf>
    <xf numFmtId="0" fontId="51" fillId="4" borderId="22" xfId="4" applyFont="1" applyBorder="1" applyAlignment="1">
      <alignment horizontal="left" vertical="center" wrapText="1"/>
    </xf>
    <xf numFmtId="0" fontId="47" fillId="14" borderId="21" xfId="4" applyFont="1" applyFill="1" applyBorder="1" applyAlignment="1">
      <alignment horizontal="left" vertical="center" wrapText="1"/>
    </xf>
    <xf numFmtId="0" fontId="47" fillId="2" borderId="18" xfId="2" applyFont="1" applyBorder="1" applyAlignment="1">
      <alignment horizontal="left" vertical="center" wrapText="1"/>
    </xf>
    <xf numFmtId="0" fontId="47" fillId="2" borderId="29" xfId="2" applyFont="1" applyBorder="1" applyAlignment="1">
      <alignment horizontal="left" vertical="center" wrapText="1"/>
    </xf>
    <xf numFmtId="0" fontId="47" fillId="2" borderId="19" xfId="2" applyFont="1" applyBorder="1" applyAlignment="1">
      <alignment horizontal="left" vertical="center" wrapText="1"/>
    </xf>
    <xf numFmtId="0" fontId="47" fillId="3" borderId="29" xfId="3" applyFont="1" applyBorder="1" applyAlignment="1">
      <alignment horizontal="left" vertical="center" wrapText="1"/>
    </xf>
    <xf numFmtId="0" fontId="47" fillId="3" borderId="19" xfId="3" applyFont="1" applyBorder="1" applyAlignment="1">
      <alignment horizontal="left" vertical="center" wrapText="1"/>
    </xf>
    <xf numFmtId="0" fontId="51" fillId="4" borderId="18" xfId="4" applyFont="1" applyBorder="1" applyAlignment="1">
      <alignment horizontal="left" vertical="center" wrapText="1"/>
    </xf>
    <xf numFmtId="0" fontId="51" fillId="4" borderId="29" xfId="4" applyFont="1" applyBorder="1" applyAlignment="1">
      <alignment horizontal="left" vertical="center" wrapText="1"/>
    </xf>
    <xf numFmtId="0" fontId="51" fillId="4" borderId="19" xfId="4" applyFont="1" applyBorder="1" applyAlignment="1">
      <alignment horizontal="left" vertical="center" wrapText="1"/>
    </xf>
    <xf numFmtId="0" fontId="51" fillId="14" borderId="18" xfId="4" applyFont="1" applyFill="1" applyBorder="1" applyAlignment="1" applyProtection="1">
      <alignment horizontal="left" vertical="center" wrapText="1"/>
      <protection hidden="1"/>
    </xf>
    <xf numFmtId="0" fontId="51" fillId="14" borderId="29" xfId="4" applyFont="1" applyFill="1" applyBorder="1" applyAlignment="1" applyProtection="1">
      <alignment horizontal="left" vertical="center" wrapText="1"/>
      <protection hidden="1"/>
    </xf>
    <xf numFmtId="0" fontId="59" fillId="4" borderId="26" xfId="4" applyFont="1" applyBorder="1" applyAlignment="1">
      <alignment horizontal="left" vertical="center" wrapText="1"/>
    </xf>
    <xf numFmtId="0" fontId="59" fillId="4" borderId="27" xfId="4" applyFont="1" applyBorder="1" applyAlignment="1">
      <alignment horizontal="left" vertical="center" wrapText="1"/>
    </xf>
    <xf numFmtId="0" fontId="47" fillId="4" borderId="25" xfId="4" applyFont="1" applyBorder="1" applyAlignment="1">
      <alignment horizontal="left" vertical="center" wrapText="1"/>
    </xf>
    <xf numFmtId="0" fontId="47" fillId="4" borderId="26" xfId="4" applyFont="1" applyBorder="1" applyAlignment="1">
      <alignment horizontal="left" vertical="center" wrapText="1"/>
    </xf>
    <xf numFmtId="0" fontId="47" fillId="3" borderId="20" xfId="3" applyFont="1" applyBorder="1" applyAlignment="1">
      <alignment horizontal="left" vertical="center" wrapText="1"/>
    </xf>
    <xf numFmtId="0" fontId="53" fillId="5" borderId="21" xfId="0" applyFont="1" applyFill="1" applyBorder="1" applyProtection="1">
      <protection hidden="1"/>
    </xf>
    <xf numFmtId="0" fontId="54" fillId="5" borderId="21" xfId="0" applyFont="1" applyFill="1" applyBorder="1" applyProtection="1">
      <protection hidden="1"/>
    </xf>
    <xf numFmtId="0" fontId="54" fillId="9" borderId="1" xfId="0" applyFont="1" applyFill="1" applyBorder="1" applyAlignment="1" applyProtection="1">
      <alignment horizontal="left" vertical="center" wrapText="1"/>
      <protection hidden="1"/>
    </xf>
    <xf numFmtId="0" fontId="54" fillId="9" borderId="42" xfId="0" applyFont="1" applyFill="1" applyBorder="1" applyAlignment="1" applyProtection="1">
      <alignment horizontal="left" vertical="center" wrapText="1"/>
      <protection hidden="1"/>
    </xf>
    <xf numFmtId="0" fontId="51" fillId="9" borderId="32" xfId="0" applyFont="1" applyFill="1" applyBorder="1" applyAlignment="1" applyProtection="1">
      <alignment horizontal="left" vertical="center" wrapText="1"/>
      <protection hidden="1"/>
    </xf>
    <xf numFmtId="0" fontId="51" fillId="9" borderId="41" xfId="0" applyFont="1" applyFill="1" applyBorder="1" applyAlignment="1" applyProtection="1">
      <alignment horizontal="right" vertical="center" wrapText="1"/>
      <protection hidden="1"/>
    </xf>
    <xf numFmtId="0" fontId="47" fillId="3" borderId="18" xfId="3" applyFont="1" applyBorder="1" applyAlignment="1">
      <alignment horizontal="left" vertical="center" wrapText="1"/>
    </xf>
    <xf numFmtId="0" fontId="54" fillId="10" borderId="19" xfId="0" applyFont="1" applyFill="1" applyBorder="1" applyAlignment="1" applyProtection="1">
      <alignment horizontal="centerContinuous"/>
      <protection hidden="1"/>
    </xf>
    <xf numFmtId="0" fontId="54" fillId="9" borderId="34" xfId="0" applyFont="1" applyFill="1" applyBorder="1" applyAlignment="1" applyProtection="1">
      <alignment horizontal="left" vertical="center" wrapText="1"/>
      <protection hidden="1"/>
    </xf>
    <xf numFmtId="0" fontId="54" fillId="9" borderId="40" xfId="0" applyFont="1" applyFill="1" applyBorder="1" applyAlignment="1" applyProtection="1">
      <alignment horizontal="left" vertical="center" wrapText="1"/>
      <protection hidden="1"/>
    </xf>
    <xf numFmtId="0" fontId="51" fillId="9" borderId="19" xfId="0" applyFont="1" applyFill="1" applyBorder="1" applyAlignment="1" applyProtection="1">
      <alignment horizontal="right" vertical="center" wrapText="1"/>
      <protection hidden="1"/>
    </xf>
    <xf numFmtId="169" fontId="56" fillId="5" borderId="0" xfId="0" applyNumberFormat="1" applyFont="1" applyFill="1" applyAlignment="1" applyProtection="1">
      <alignment horizontal="right"/>
      <protection hidden="1"/>
    </xf>
    <xf numFmtId="0" fontId="54" fillId="5" borderId="17" xfId="0" applyFont="1" applyFill="1" applyBorder="1" applyAlignment="1" applyProtection="1">
      <alignment horizontal="centerContinuous"/>
      <protection hidden="1"/>
    </xf>
    <xf numFmtId="0" fontId="53" fillId="5" borderId="18" xfId="0" applyFont="1" applyFill="1" applyBorder="1" applyAlignment="1" applyProtection="1">
      <alignment horizontal="centerContinuous"/>
      <protection hidden="1"/>
    </xf>
    <xf numFmtId="0" fontId="54" fillId="5" borderId="0" xfId="0" applyFont="1" applyFill="1" applyAlignment="1" applyProtection="1">
      <alignment horizontal="centerContinuous"/>
      <protection hidden="1"/>
    </xf>
    <xf numFmtId="0" fontId="47" fillId="4" borderId="29" xfId="4" quotePrefix="1" applyFont="1" applyBorder="1" applyAlignment="1">
      <alignment horizontal="left" vertical="center" wrapText="1"/>
    </xf>
    <xf numFmtId="0" fontId="51" fillId="9" borderId="1" xfId="0" applyFont="1" applyFill="1" applyBorder="1" applyAlignment="1">
      <alignment horizontal="left" vertical="center" wrapText="1"/>
    </xf>
    <xf numFmtId="0" fontId="54" fillId="6" borderId="29" xfId="0" applyFont="1" applyFill="1" applyBorder="1" applyAlignment="1" applyProtection="1">
      <alignment horizontal="centerContinuous"/>
      <protection hidden="1"/>
    </xf>
    <xf numFmtId="0" fontId="54" fillId="6" borderId="19" xfId="0" applyFont="1" applyFill="1" applyBorder="1" applyAlignment="1" applyProtection="1">
      <alignment horizontal="centerContinuous"/>
      <protection hidden="1"/>
    </xf>
    <xf numFmtId="0" fontId="54" fillId="6" borderId="32" xfId="0" applyFont="1" applyFill="1" applyBorder="1" applyAlignment="1" applyProtection="1">
      <alignment horizontal="centerContinuous" vertical="center"/>
      <protection hidden="1"/>
    </xf>
    <xf numFmtId="0" fontId="54" fillId="6" borderId="33" xfId="0" applyFont="1" applyFill="1" applyBorder="1" applyAlignment="1" applyProtection="1">
      <alignment horizontal="centerContinuous" vertical="center"/>
      <protection hidden="1"/>
    </xf>
    <xf numFmtId="0" fontId="51" fillId="9" borderId="17" xfId="0" applyFont="1" applyFill="1" applyBorder="1" applyAlignment="1" applyProtection="1">
      <alignment horizontal="right" vertical="center" wrapText="1"/>
      <protection hidden="1"/>
    </xf>
    <xf numFmtId="0" fontId="27" fillId="7" borderId="17" xfId="0" applyFont="1" applyFill="1" applyBorder="1" applyAlignment="1" applyProtection="1">
      <alignment vertical="center"/>
      <protection locked="0"/>
    </xf>
    <xf numFmtId="0" fontId="27" fillId="7" borderId="20" xfId="0" applyFont="1" applyFill="1" applyBorder="1" applyAlignment="1" applyProtection="1">
      <alignment vertical="center"/>
      <protection hidden="1"/>
    </xf>
    <xf numFmtId="0" fontId="27" fillId="7" borderId="23" xfId="0" applyFont="1" applyFill="1" applyBorder="1" applyAlignment="1" applyProtection="1">
      <alignment vertical="center"/>
      <protection hidden="1"/>
    </xf>
    <xf numFmtId="0" fontId="27" fillId="7" borderId="25" xfId="0" applyFont="1" applyFill="1" applyBorder="1" applyAlignment="1" applyProtection="1">
      <alignment vertical="center"/>
      <protection hidden="1"/>
    </xf>
    <xf numFmtId="0" fontId="54" fillId="0" borderId="0" xfId="0" applyFont="1"/>
    <xf numFmtId="0" fontId="53" fillId="0" borderId="0" xfId="0" applyFont="1"/>
    <xf numFmtId="0" fontId="51" fillId="0" borderId="0" xfId="0" applyFont="1"/>
    <xf numFmtId="0" fontId="70" fillId="0" borderId="0" xfId="0" applyFont="1"/>
    <xf numFmtId="0" fontId="49" fillId="0" borderId="44" xfId="0" applyFont="1" applyBorder="1"/>
    <xf numFmtId="0" fontId="51" fillId="11" borderId="18" xfId="4" applyFont="1" applyFill="1" applyBorder="1" applyAlignment="1">
      <alignment horizontal="left" vertical="center" wrapText="1"/>
    </xf>
    <xf numFmtId="0" fontId="51" fillId="11" borderId="29" xfId="4" applyFont="1" applyFill="1" applyBorder="1" applyAlignment="1">
      <alignment horizontal="left" vertical="center" wrapText="1"/>
    </xf>
    <xf numFmtId="3" fontId="27" fillId="7" borderId="17" xfId="0" applyNumberFormat="1" applyFont="1" applyFill="1" applyBorder="1" applyAlignment="1" applyProtection="1">
      <alignment vertical="center"/>
      <protection locked="0"/>
    </xf>
    <xf numFmtId="170" fontId="54" fillId="8" borderId="9" xfId="0" applyNumberFormat="1" applyFont="1" applyFill="1" applyBorder="1" applyAlignment="1" applyProtection="1">
      <alignment vertical="center"/>
      <protection locked="0"/>
    </xf>
    <xf numFmtId="0" fontId="51" fillId="9" borderId="45" xfId="0" applyFont="1" applyFill="1" applyBorder="1" applyAlignment="1">
      <alignment horizontal="left" vertical="center" wrapText="1"/>
    </xf>
    <xf numFmtId="0" fontId="47" fillId="2" borderId="25" xfId="2" applyFont="1" applyBorder="1" applyAlignment="1">
      <alignment horizontal="left" vertical="center" wrapText="1"/>
    </xf>
    <xf numFmtId="0" fontId="47" fillId="2" borderId="26" xfId="2" applyFont="1" applyBorder="1" applyAlignment="1">
      <alignment horizontal="left" vertical="center" wrapText="1"/>
    </xf>
    <xf numFmtId="0" fontId="47" fillId="2" borderId="27" xfId="2" applyFont="1" applyBorder="1" applyAlignment="1">
      <alignment horizontal="left" vertical="center" wrapText="1"/>
    </xf>
    <xf numFmtId="0" fontId="54" fillId="5" borderId="20" xfId="0" applyFont="1" applyFill="1" applyBorder="1" applyAlignment="1" applyProtection="1">
      <alignment horizontal="centerContinuous"/>
      <protection hidden="1"/>
    </xf>
    <xf numFmtId="0" fontId="56" fillId="5" borderId="21" xfId="0" applyFont="1" applyFill="1" applyBorder="1" applyAlignment="1" applyProtection="1">
      <alignment horizontal="centerContinuous"/>
      <protection hidden="1"/>
    </xf>
    <xf numFmtId="0" fontId="53" fillId="5" borderId="22" xfId="0" applyFont="1" applyFill="1" applyBorder="1" applyAlignment="1" applyProtection="1">
      <alignment horizontal="centerContinuous"/>
      <protection hidden="1"/>
    </xf>
    <xf numFmtId="0" fontId="47" fillId="14" borderId="25" xfId="0" applyFont="1" applyFill="1" applyBorder="1" applyAlignment="1" applyProtection="1">
      <alignment horizontal="left" vertical="center" wrapText="1"/>
      <protection hidden="1"/>
    </xf>
    <xf numFmtId="0" fontId="47" fillId="14" borderId="26" xfId="0" applyFont="1" applyFill="1" applyBorder="1" applyAlignment="1" applyProtection="1">
      <alignment horizontal="left" vertical="center" wrapText="1"/>
      <protection hidden="1"/>
    </xf>
    <xf numFmtId="0" fontId="47" fillId="14" borderId="27" xfId="0" applyFont="1" applyFill="1" applyBorder="1" applyAlignment="1" applyProtection="1">
      <alignment horizontal="left" vertical="center" wrapText="1"/>
      <protection hidden="1"/>
    </xf>
    <xf numFmtId="4" fontId="53" fillId="5" borderId="0" xfId="0" applyNumberFormat="1" applyFont="1" applyFill="1" applyProtection="1">
      <protection hidden="1"/>
    </xf>
    <xf numFmtId="0" fontId="54" fillId="9" borderId="0" xfId="0" applyFont="1" applyFill="1" applyAlignment="1" applyProtection="1">
      <alignment horizontal="left" vertical="center" wrapText="1"/>
      <protection hidden="1"/>
    </xf>
    <xf numFmtId="0" fontId="54" fillId="9" borderId="17" xfId="0" applyFont="1" applyFill="1" applyBorder="1" applyAlignment="1" applyProtection="1">
      <alignment horizontal="left" vertical="center" wrapText="1"/>
      <protection hidden="1"/>
    </xf>
    <xf numFmtId="0" fontId="53" fillId="14" borderId="23" xfId="0" applyFont="1" applyFill="1" applyBorder="1" applyAlignment="1" applyProtection="1">
      <alignment wrapText="1"/>
      <protection hidden="1"/>
    </xf>
    <xf numFmtId="0" fontId="53" fillId="14" borderId="24" xfId="0" applyFont="1" applyFill="1" applyBorder="1" applyAlignment="1" applyProtection="1">
      <alignment wrapText="1"/>
      <protection hidden="1"/>
    </xf>
    <xf numFmtId="179" fontId="14" fillId="5" borderId="0" xfId="0" applyNumberFormat="1" applyFont="1" applyFill="1" applyProtection="1">
      <protection hidden="1"/>
    </xf>
    <xf numFmtId="0" fontId="27" fillId="5" borderId="20" xfId="0" applyFont="1" applyFill="1" applyBorder="1" applyAlignment="1" applyProtection="1">
      <alignment vertical="center"/>
      <protection hidden="1"/>
    </xf>
    <xf numFmtId="0" fontId="27" fillId="5" borderId="21" xfId="0" applyFont="1" applyFill="1" applyBorder="1" applyAlignment="1" applyProtection="1">
      <alignment vertical="center" wrapText="1"/>
      <protection hidden="1"/>
    </xf>
    <xf numFmtId="9" fontId="29" fillId="5" borderId="23" xfId="0" applyNumberFormat="1" applyFont="1" applyFill="1" applyBorder="1" applyAlignment="1" applyProtection="1">
      <alignment horizontal="left" vertical="center"/>
      <protection hidden="1"/>
    </xf>
    <xf numFmtId="0" fontId="27" fillId="5" borderId="24" xfId="0" applyFont="1" applyFill="1" applyBorder="1" applyAlignment="1" applyProtection="1">
      <alignment horizontal="right" vertical="center"/>
      <protection hidden="1"/>
    </xf>
    <xf numFmtId="0" fontId="27" fillId="5" borderId="23" xfId="0" applyFont="1" applyFill="1" applyBorder="1" applyAlignment="1" applyProtection="1">
      <alignment horizontal="right" vertical="center"/>
      <protection hidden="1"/>
    </xf>
    <xf numFmtId="9" fontId="29" fillId="5" borderId="25" xfId="0" applyNumberFormat="1" applyFont="1" applyFill="1" applyBorder="1" applyAlignment="1" applyProtection="1">
      <alignment horizontal="left" vertical="center"/>
      <protection hidden="1"/>
    </xf>
    <xf numFmtId="43" fontId="14" fillId="5" borderId="0" xfId="0" applyNumberFormat="1" applyFont="1" applyFill="1" applyProtection="1">
      <protection hidden="1"/>
    </xf>
    <xf numFmtId="0" fontId="27" fillId="5" borderId="22" xfId="0" applyFont="1" applyFill="1" applyBorder="1" applyAlignment="1" applyProtection="1">
      <alignment horizontal="right" vertical="center"/>
      <protection hidden="1"/>
    </xf>
    <xf numFmtId="0" fontId="54" fillId="5" borderId="18" xfId="0" applyFont="1" applyFill="1" applyBorder="1" applyProtection="1">
      <protection hidden="1"/>
    </xf>
    <xf numFmtId="0" fontId="54" fillId="5" borderId="29" xfId="0" applyFont="1" applyFill="1" applyBorder="1" applyProtection="1">
      <protection hidden="1"/>
    </xf>
    <xf numFmtId="0" fontId="24" fillId="7" borderId="0" xfId="0" applyFont="1" applyFill="1" applyProtection="1">
      <protection hidden="1"/>
    </xf>
    <xf numFmtId="0" fontId="26" fillId="5" borderId="0" xfId="0" applyFont="1" applyFill="1" applyProtection="1">
      <protection hidden="1"/>
    </xf>
    <xf numFmtId="0" fontId="25" fillId="5" borderId="0" xfId="0" applyFont="1" applyFill="1" applyAlignment="1" applyProtection="1">
      <alignment horizontal="left" vertical="center"/>
      <protection hidden="1"/>
    </xf>
    <xf numFmtId="0" fontId="0" fillId="5" borderId="20" xfId="0" applyFill="1" applyBorder="1" applyAlignment="1">
      <alignment horizontal="centerContinuous"/>
    </xf>
    <xf numFmtId="0" fontId="54" fillId="5" borderId="22" xfId="0" applyFont="1" applyFill="1" applyBorder="1" applyAlignment="1" applyProtection="1">
      <alignment horizontal="centerContinuous"/>
      <protection hidden="1"/>
    </xf>
    <xf numFmtId="0" fontId="53" fillId="12" borderId="0" xfId="0" applyFont="1" applyFill="1"/>
    <xf numFmtId="0" fontId="4" fillId="0" borderId="0" xfId="5" applyFont="1"/>
    <xf numFmtId="9" fontId="53" fillId="0" borderId="0" xfId="15" applyFont="1"/>
    <xf numFmtId="2" fontId="53" fillId="0" borderId="0" xfId="0" applyNumberFormat="1" applyFont="1"/>
    <xf numFmtId="0" fontId="72" fillId="0" borderId="0" xfId="5" applyFont="1"/>
    <xf numFmtId="0" fontId="23" fillId="5" borderId="0" xfId="0" applyFont="1" applyFill="1" applyProtection="1">
      <protection hidden="1"/>
    </xf>
    <xf numFmtId="0" fontId="37" fillId="5" borderId="17" xfId="0" applyFont="1" applyFill="1" applyBorder="1" applyAlignment="1" applyProtection="1">
      <alignment vertical="center"/>
      <protection hidden="1"/>
    </xf>
    <xf numFmtId="0" fontId="27" fillId="5" borderId="0" xfId="0" applyFont="1" applyFill="1" applyAlignment="1" applyProtection="1">
      <alignment vertical="center"/>
      <protection hidden="1"/>
    </xf>
    <xf numFmtId="0" fontId="27" fillId="5" borderId="24" xfId="0" applyFont="1" applyFill="1" applyBorder="1" applyAlignment="1" applyProtection="1">
      <alignment vertical="center"/>
      <protection hidden="1"/>
    </xf>
    <xf numFmtId="0" fontId="27" fillId="5" borderId="24" xfId="0" applyFont="1" applyFill="1" applyBorder="1" applyAlignment="1" applyProtection="1">
      <alignment vertical="center" wrapText="1"/>
      <protection hidden="1"/>
    </xf>
    <xf numFmtId="0" fontId="27" fillId="5" borderId="0" xfId="0" applyFont="1" applyFill="1" applyAlignment="1" applyProtection="1">
      <alignment horizontal="center" vertical="center"/>
      <protection hidden="1"/>
    </xf>
    <xf numFmtId="0" fontId="14" fillId="5" borderId="0" xfId="0" applyFont="1" applyFill="1" applyAlignment="1" applyProtection="1">
      <alignment horizontal="left"/>
      <protection hidden="1"/>
    </xf>
    <xf numFmtId="0" fontId="14" fillId="5" borderId="0" xfId="0" applyFont="1" applyFill="1" applyAlignment="1" applyProtection="1">
      <alignment wrapText="1"/>
      <protection hidden="1"/>
    </xf>
    <xf numFmtId="0" fontId="14" fillId="5" borderId="0" xfId="0" applyFont="1" applyFill="1" applyAlignment="1" applyProtection="1">
      <alignment horizontal="center"/>
      <protection hidden="1"/>
    </xf>
    <xf numFmtId="0" fontId="14" fillId="0" borderId="30" xfId="0" applyFont="1" applyBorder="1" applyAlignment="1" applyProtection="1">
      <alignment horizontal="left"/>
      <protection hidden="1"/>
    </xf>
    <xf numFmtId="0" fontId="14" fillId="0" borderId="30" xfId="0" applyFont="1" applyBorder="1" applyAlignment="1" applyProtection="1">
      <alignment wrapText="1"/>
      <protection hidden="1"/>
    </xf>
    <xf numFmtId="0" fontId="14" fillId="0" borderId="30" xfId="0" applyFont="1" applyBorder="1" applyAlignment="1" applyProtection="1">
      <alignment horizontal="center"/>
      <protection hidden="1"/>
    </xf>
    <xf numFmtId="0" fontId="31" fillId="7" borderId="0" xfId="13" applyFont="1" applyFill="1" applyAlignment="1" applyProtection="1">
      <alignment vertical="top"/>
      <protection hidden="1"/>
    </xf>
    <xf numFmtId="0" fontId="31" fillId="7" borderId="0" xfId="0" applyFont="1" applyFill="1" applyAlignment="1" applyProtection="1">
      <alignment vertical="center"/>
      <protection hidden="1"/>
    </xf>
    <xf numFmtId="3" fontId="64" fillId="7" borderId="0" xfId="13" applyNumberFormat="1" applyFont="1" applyFill="1" applyAlignment="1" applyProtection="1">
      <alignment vertical="center"/>
      <protection hidden="1"/>
    </xf>
    <xf numFmtId="0" fontId="41" fillId="7" borderId="0" xfId="13" applyFont="1" applyFill="1" applyAlignment="1" applyProtection="1">
      <alignment vertical="center"/>
      <protection hidden="1"/>
    </xf>
    <xf numFmtId="0" fontId="27" fillId="5" borderId="23" xfId="13" applyFont="1" applyFill="1" applyBorder="1" applyAlignment="1" applyProtection="1">
      <alignment horizontal="left" vertical="center"/>
      <protection hidden="1"/>
    </xf>
    <xf numFmtId="0" fontId="27" fillId="5" borderId="23" xfId="13" applyFont="1" applyFill="1" applyBorder="1" applyAlignment="1" applyProtection="1">
      <alignment vertical="center"/>
      <protection hidden="1"/>
    </xf>
    <xf numFmtId="3" fontId="27" fillId="13" borderId="17" xfId="0" applyNumberFormat="1" applyFont="1" applyFill="1" applyBorder="1" applyAlignment="1" applyProtection="1">
      <alignment vertical="center"/>
      <protection hidden="1"/>
    </xf>
    <xf numFmtId="0" fontId="68" fillId="5" borderId="23" xfId="13" applyFont="1" applyFill="1" applyBorder="1" applyAlignment="1" applyProtection="1">
      <alignment vertical="center"/>
      <protection hidden="1"/>
    </xf>
    <xf numFmtId="1" fontId="27" fillId="5" borderId="29" xfId="0" applyNumberFormat="1" applyFont="1" applyFill="1" applyBorder="1" applyAlignment="1" applyProtection="1">
      <alignment vertical="center"/>
      <protection hidden="1"/>
    </xf>
    <xf numFmtId="0" fontId="67" fillId="5" borderId="23" xfId="13" applyFont="1" applyFill="1" applyBorder="1" applyAlignment="1" applyProtection="1">
      <alignment horizontal="left" vertical="center"/>
      <protection hidden="1"/>
    </xf>
    <xf numFmtId="3" fontId="27" fillId="21" borderId="17" xfId="0" applyNumberFormat="1" applyFont="1" applyFill="1" applyBorder="1" applyAlignment="1" applyProtection="1">
      <alignment vertical="center"/>
      <protection hidden="1"/>
    </xf>
    <xf numFmtId="0" fontId="27" fillId="5" borderId="25" xfId="13" applyFont="1" applyFill="1" applyBorder="1" applyAlignment="1" applyProtection="1">
      <alignment horizontal="left" vertical="center"/>
      <protection hidden="1"/>
    </xf>
    <xf numFmtId="3" fontId="20" fillId="7" borderId="0" xfId="13" applyNumberFormat="1" applyFont="1" applyFill="1" applyAlignment="1" applyProtection="1">
      <alignment vertical="center"/>
      <protection hidden="1"/>
    </xf>
    <xf numFmtId="0" fontId="37" fillId="7" borderId="0" xfId="0" applyFont="1" applyFill="1" applyAlignment="1" applyProtection="1">
      <alignment horizontal="center" vertical="center"/>
      <protection hidden="1"/>
    </xf>
    <xf numFmtId="0" fontId="27" fillId="5" borderId="2" xfId="0" applyFont="1" applyFill="1" applyBorder="1" applyAlignment="1" applyProtection="1">
      <alignment vertical="center"/>
      <protection hidden="1"/>
    </xf>
    <xf numFmtId="0" fontId="27" fillId="5" borderId="2" xfId="0" applyFont="1" applyFill="1" applyBorder="1" applyAlignment="1" applyProtection="1">
      <alignment vertical="center" wrapText="1"/>
      <protection hidden="1"/>
    </xf>
    <xf numFmtId="0" fontId="27" fillId="5" borderId="1" xfId="0" applyFont="1" applyFill="1" applyBorder="1" applyAlignment="1" applyProtection="1">
      <alignment horizontal="left" vertical="center"/>
      <protection hidden="1"/>
    </xf>
    <xf numFmtId="0" fontId="27" fillId="7" borderId="17" xfId="0" applyFont="1" applyFill="1" applyBorder="1" applyAlignment="1" applyProtection="1">
      <alignment vertical="center" wrapText="1"/>
      <protection locked="0"/>
    </xf>
    <xf numFmtId="0" fontId="47" fillId="4" borderId="23" xfId="4" applyFont="1" applyBorder="1" applyAlignment="1">
      <alignment horizontal="left" vertical="center" wrapText="1"/>
    </xf>
    <xf numFmtId="0" fontId="47" fillId="4" borderId="24" xfId="4" applyFont="1" applyBorder="1" applyAlignment="1">
      <alignment horizontal="left" vertical="center" wrapText="1"/>
    </xf>
    <xf numFmtId="0" fontId="53" fillId="5" borderId="20" xfId="0" applyFont="1" applyFill="1" applyBorder="1" applyAlignment="1" applyProtection="1">
      <alignment horizontal="centerContinuous"/>
      <protection hidden="1"/>
    </xf>
    <xf numFmtId="0" fontId="51" fillId="0" borderId="0" xfId="5" applyFont="1"/>
    <xf numFmtId="165" fontId="27" fillId="5" borderId="17" xfId="1" applyNumberFormat="1" applyFont="1" applyFill="1" applyBorder="1" applyAlignment="1" applyProtection="1">
      <alignment vertical="center"/>
      <protection locked="0"/>
    </xf>
    <xf numFmtId="9" fontId="27" fillId="5" borderId="17" xfId="16" applyFont="1" applyFill="1" applyBorder="1" applyAlignment="1" applyProtection="1">
      <alignment horizontal="right" vertical="center"/>
      <protection locked="0"/>
    </xf>
    <xf numFmtId="181" fontId="14" fillId="5" borderId="0" xfId="0" applyNumberFormat="1" applyFont="1" applyFill="1" applyProtection="1">
      <protection hidden="1"/>
    </xf>
    <xf numFmtId="43" fontId="14" fillId="5" borderId="0" xfId="0" applyNumberFormat="1" applyFont="1" applyFill="1" applyAlignment="1" applyProtection="1">
      <alignment vertical="center"/>
      <protection hidden="1"/>
    </xf>
    <xf numFmtId="0" fontId="47" fillId="0" borderId="0" xfId="14" applyFont="1"/>
    <xf numFmtId="0" fontId="46" fillId="0" borderId="0" xfId="5" applyFont="1"/>
    <xf numFmtId="0" fontId="47" fillId="14" borderId="26" xfId="0" applyFont="1" applyFill="1" applyBorder="1" applyAlignment="1" applyProtection="1">
      <alignment vertical="center" wrapText="1"/>
      <protection hidden="1"/>
    </xf>
    <xf numFmtId="0" fontId="51" fillId="14" borderId="25" xfId="4" applyFont="1" applyFill="1" applyBorder="1" applyAlignment="1" applyProtection="1">
      <alignment horizontal="left" vertical="center" wrapText="1"/>
      <protection hidden="1"/>
    </xf>
    <xf numFmtId="0" fontId="51" fillId="14" borderId="26" xfId="4" applyFont="1" applyFill="1" applyBorder="1" applyAlignment="1" applyProtection="1">
      <alignment horizontal="left" vertical="center" wrapText="1"/>
      <protection hidden="1"/>
    </xf>
    <xf numFmtId="0" fontId="51" fillId="14" borderId="27" xfId="4" applyFont="1" applyFill="1" applyBorder="1" applyAlignment="1" applyProtection="1">
      <alignment horizontal="left" vertical="center" wrapText="1"/>
      <protection hidden="1"/>
    </xf>
    <xf numFmtId="0" fontId="51" fillId="4" borderId="26" xfId="4" applyFont="1" applyBorder="1" applyAlignment="1">
      <alignment horizontal="left" vertical="center" wrapText="1"/>
    </xf>
    <xf numFmtId="0" fontId="51" fillId="4" borderId="25" xfId="4" applyFont="1" applyBorder="1" applyAlignment="1">
      <alignment horizontal="left" vertical="center" wrapText="1"/>
    </xf>
    <xf numFmtId="0" fontId="51" fillId="4" borderId="27" xfId="4" applyFont="1" applyBorder="1" applyAlignment="1">
      <alignment horizontal="left" vertical="center" wrapText="1"/>
    </xf>
    <xf numFmtId="0" fontId="51" fillId="4" borderId="23" xfId="4" applyFont="1" applyBorder="1" applyAlignment="1">
      <alignment horizontal="left" vertical="center" wrapText="1"/>
    </xf>
    <xf numFmtId="0" fontId="51" fillId="11" borderId="26" xfId="4" applyFont="1" applyFill="1" applyBorder="1" applyAlignment="1">
      <alignment horizontal="left" vertical="center" wrapText="1"/>
    </xf>
    <xf numFmtId="0" fontId="51" fillId="11" borderId="25" xfId="4" applyFont="1" applyFill="1" applyBorder="1" applyAlignment="1">
      <alignment horizontal="left" vertical="center" wrapText="1"/>
    </xf>
    <xf numFmtId="182" fontId="14" fillId="5" borderId="0" xfId="0" applyNumberFormat="1" applyFont="1" applyFill="1" applyProtection="1">
      <protection hidden="1"/>
    </xf>
    <xf numFmtId="0" fontId="47" fillId="14" borderId="25" xfId="0" applyFont="1" applyFill="1" applyBorder="1" applyAlignment="1" applyProtection="1">
      <alignment vertical="center" wrapText="1"/>
      <protection hidden="1"/>
    </xf>
    <xf numFmtId="0" fontId="47" fillId="14" borderId="27" xfId="0" applyFont="1" applyFill="1" applyBorder="1" applyAlignment="1" applyProtection="1">
      <alignment vertical="center" wrapText="1"/>
      <protection hidden="1"/>
    </xf>
    <xf numFmtId="3" fontId="40" fillId="7" borderId="0" xfId="13" applyNumberFormat="1" applyFont="1" applyFill="1" applyAlignment="1" applyProtection="1">
      <alignment horizontal="right" vertical="top"/>
      <protection hidden="1"/>
    </xf>
    <xf numFmtId="0" fontId="3" fillId="0" borderId="0" xfId="5" applyFont="1"/>
    <xf numFmtId="0" fontId="47" fillId="14" borderId="26" xfId="4" applyFont="1" applyFill="1" applyBorder="1" applyAlignment="1" applyProtection="1">
      <alignment horizontal="left" vertical="center" wrapText="1"/>
      <protection hidden="1"/>
    </xf>
    <xf numFmtId="170" fontId="54" fillId="10" borderId="0" xfId="0" applyNumberFormat="1" applyFont="1" applyFill="1" applyAlignment="1" applyProtection="1">
      <alignment vertical="center"/>
      <protection hidden="1"/>
    </xf>
    <xf numFmtId="176" fontId="30" fillId="7" borderId="0" xfId="1" applyNumberFormat="1" applyFont="1" applyFill="1" applyBorder="1" applyAlignment="1" applyProtection="1">
      <alignment vertical="center"/>
      <protection hidden="1"/>
    </xf>
    <xf numFmtId="170" fontId="64" fillId="7" borderId="0" xfId="13" applyNumberFormat="1" applyFont="1" applyFill="1" applyAlignment="1" applyProtection="1">
      <alignment vertical="center"/>
      <protection hidden="1"/>
    </xf>
    <xf numFmtId="172" fontId="64" fillId="7" borderId="0" xfId="13" applyNumberFormat="1" applyFont="1" applyFill="1" applyAlignment="1" applyProtection="1">
      <alignment vertical="center"/>
      <protection hidden="1"/>
    </xf>
    <xf numFmtId="172" fontId="73" fillId="7" borderId="0" xfId="13" applyNumberFormat="1" applyFont="1" applyFill="1" applyAlignment="1" applyProtection="1">
      <alignment vertical="center"/>
      <protection hidden="1"/>
    </xf>
    <xf numFmtId="0" fontId="53" fillId="11" borderId="29" xfId="0" applyFont="1" applyFill="1" applyBorder="1" applyAlignment="1" applyProtection="1">
      <alignment horizontal="centerContinuous"/>
      <protection hidden="1"/>
    </xf>
    <xf numFmtId="0" fontId="51" fillId="0" borderId="0" xfId="11" applyFont="1"/>
    <xf numFmtId="0" fontId="47" fillId="0" borderId="0" xfId="11" applyFont="1"/>
    <xf numFmtId="0" fontId="47" fillId="0" borderId="0" xfId="6" applyFont="1"/>
    <xf numFmtId="0" fontId="51" fillId="0" borderId="11" xfId="11" applyFont="1" applyBorder="1"/>
    <xf numFmtId="0" fontId="51" fillId="0" borderId="12" xfId="11" applyFont="1" applyBorder="1"/>
    <xf numFmtId="0" fontId="51" fillId="0" borderId="10" xfId="11" applyFont="1" applyBorder="1"/>
    <xf numFmtId="0" fontId="47" fillId="0" borderId="6" xfId="11" applyFont="1" applyBorder="1"/>
    <xf numFmtId="0" fontId="51" fillId="0" borderId="12" xfId="6" applyFont="1" applyBorder="1"/>
    <xf numFmtId="0" fontId="47" fillId="0" borderId="6" xfId="6" applyFont="1" applyBorder="1"/>
    <xf numFmtId="171" fontId="47" fillId="0" borderId="0" xfId="6" applyNumberFormat="1" applyFont="1"/>
    <xf numFmtId="0" fontId="47" fillId="12" borderId="0" xfId="11" applyFont="1" applyFill="1"/>
    <xf numFmtId="0" fontId="51" fillId="13" borderId="6" xfId="13" applyFont="1" applyFill="1" applyBorder="1" applyAlignment="1">
      <alignment horizontal="center" vertical="center" wrapText="1"/>
    </xf>
    <xf numFmtId="0" fontId="53" fillId="0" borderId="0" xfId="13" applyFont="1"/>
    <xf numFmtId="0" fontId="53" fillId="0" borderId="6" xfId="13" applyFont="1" applyBorder="1" applyAlignment="1">
      <alignment horizontal="center"/>
    </xf>
    <xf numFmtId="2" fontId="53" fillId="0" borderId="6" xfId="13" applyNumberFormat="1" applyFont="1" applyBorder="1" applyAlignment="1">
      <alignment horizontal="center"/>
    </xf>
    <xf numFmtId="166" fontId="53" fillId="13" borderId="6" xfId="13" applyNumberFormat="1" applyFont="1" applyFill="1" applyBorder="1"/>
    <xf numFmtId="0" fontId="53" fillId="13" borderId="6" xfId="13" applyFont="1" applyFill="1" applyBorder="1" applyAlignment="1">
      <alignment horizontal="center"/>
    </xf>
    <xf numFmtId="0" fontId="51" fillId="13" borderId="11" xfId="13" applyFont="1" applyFill="1" applyBorder="1" applyAlignment="1">
      <alignment horizontal="center" vertical="center" wrapText="1"/>
    </xf>
    <xf numFmtId="0" fontId="51" fillId="13" borderId="12" xfId="13" applyFont="1" applyFill="1" applyBorder="1" applyAlignment="1">
      <alignment horizontal="center" vertical="center" wrapText="1"/>
    </xf>
    <xf numFmtId="0" fontId="53" fillId="0" borderId="0" xfId="5" quotePrefix="1" applyFont="1" applyProtection="1">
      <protection hidden="1"/>
    </xf>
    <xf numFmtId="0" fontId="53" fillId="0" borderId="6" xfId="0" quotePrefix="1" applyFont="1" applyBorder="1"/>
    <xf numFmtId="176" fontId="27" fillId="7" borderId="0" xfId="0" applyNumberFormat="1" applyFont="1" applyFill="1" applyAlignment="1" applyProtection="1">
      <alignment horizontal="left"/>
      <protection hidden="1"/>
    </xf>
    <xf numFmtId="176" fontId="14" fillId="5" borderId="0" xfId="0" applyNumberFormat="1" applyFont="1" applyFill="1" applyProtection="1">
      <protection hidden="1"/>
    </xf>
    <xf numFmtId="0" fontId="54" fillId="12" borderId="0" xfId="5" applyFont="1" applyFill="1" applyAlignment="1" applyProtection="1">
      <alignment horizontal="centerContinuous"/>
      <protection hidden="1"/>
    </xf>
    <xf numFmtId="0" fontId="54" fillId="0" borderId="0" xfId="5" applyFont="1" applyAlignment="1" applyProtection="1">
      <alignment vertical="center"/>
      <protection hidden="1"/>
    </xf>
    <xf numFmtId="0" fontId="55" fillId="0" borderId="0" xfId="5" applyFont="1" applyProtection="1">
      <protection hidden="1"/>
    </xf>
    <xf numFmtId="0" fontId="54" fillId="11" borderId="8" xfId="5" applyFont="1" applyFill="1" applyBorder="1" applyAlignment="1" applyProtection="1">
      <alignment horizontal="centerContinuous"/>
      <protection hidden="1"/>
    </xf>
    <xf numFmtId="0" fontId="46" fillId="0" borderId="6" xfId="12" applyFont="1" applyBorder="1" applyAlignment="1">
      <alignment vertical="center" wrapText="1"/>
    </xf>
    <xf numFmtId="0" fontId="46" fillId="0" borderId="6" xfId="12" applyFont="1" applyBorder="1" applyAlignment="1">
      <alignment vertical="center"/>
    </xf>
    <xf numFmtId="0" fontId="46" fillId="0" borderId="11" xfId="12" applyFont="1" applyBorder="1" applyAlignment="1">
      <alignment vertical="center"/>
    </xf>
    <xf numFmtId="0" fontId="46" fillId="15" borderId="13" xfId="5" applyFont="1" applyFill="1" applyBorder="1"/>
    <xf numFmtId="0" fontId="46" fillId="15" borderId="14" xfId="5" applyFont="1" applyFill="1" applyBorder="1"/>
    <xf numFmtId="0" fontId="46" fillId="15" borderId="0" xfId="5" applyFont="1" applyFill="1"/>
    <xf numFmtId="0" fontId="53" fillId="0" borderId="6" xfId="5" applyFont="1" applyBorder="1" applyProtection="1">
      <protection hidden="1"/>
    </xf>
    <xf numFmtId="0" fontId="54" fillId="0" borderId="12" xfId="5" applyFont="1" applyBorder="1" applyProtection="1">
      <protection hidden="1"/>
    </xf>
    <xf numFmtId="0" fontId="74" fillId="0" borderId="6" xfId="5" applyFont="1" applyBorder="1" applyProtection="1">
      <protection hidden="1"/>
    </xf>
    <xf numFmtId="175" fontId="53" fillId="0" borderId="0" xfId="0" applyNumberFormat="1" applyFont="1"/>
    <xf numFmtId="173" fontId="53" fillId="0" borderId="0" xfId="0" applyNumberFormat="1" applyFont="1"/>
    <xf numFmtId="0" fontId="54" fillId="6" borderId="8" xfId="5" applyFont="1" applyFill="1" applyBorder="1" applyAlignment="1" applyProtection="1">
      <alignment horizontal="centerContinuous"/>
      <protection hidden="1"/>
    </xf>
    <xf numFmtId="0" fontId="54" fillId="6" borderId="8" xfId="5" applyFont="1" applyFill="1" applyBorder="1" applyAlignment="1" applyProtection="1">
      <alignment horizontal="left"/>
      <protection hidden="1"/>
    </xf>
    <xf numFmtId="0" fontId="46" fillId="0" borderId="6" xfId="18" applyFont="1" applyBorder="1" applyAlignment="1">
      <alignment vertical="center" wrapText="1"/>
    </xf>
    <xf numFmtId="0" fontId="46" fillId="0" borderId="6" xfId="18" applyFont="1" applyBorder="1" applyAlignment="1">
      <alignment vertical="center"/>
    </xf>
    <xf numFmtId="0" fontId="46" fillId="0" borderId="11" xfId="18" applyFont="1" applyBorder="1" applyAlignment="1">
      <alignment vertical="center"/>
    </xf>
    <xf numFmtId="0" fontId="46" fillId="0" borderId="12" xfId="18" applyFont="1" applyBorder="1" applyAlignment="1">
      <alignment vertical="center"/>
    </xf>
    <xf numFmtId="0" fontId="46" fillId="0" borderId="10" xfId="18" applyFont="1" applyBorder="1" applyAlignment="1">
      <alignment vertical="center"/>
    </xf>
    <xf numFmtId="0" fontId="53" fillId="17" borderId="0" xfId="0" applyFont="1" applyFill="1"/>
    <xf numFmtId="0" fontId="53" fillId="17" borderId="0" xfId="0" applyFont="1" applyFill="1" applyAlignment="1">
      <alignment horizontal="center"/>
    </xf>
    <xf numFmtId="0" fontId="53" fillId="17" borderId="0" xfId="0" applyFont="1" applyFill="1" applyAlignment="1">
      <alignment horizontal="left"/>
    </xf>
    <xf numFmtId="166" fontId="53" fillId="17" borderId="0" xfId="0" applyNumberFormat="1" applyFont="1" applyFill="1" applyAlignment="1">
      <alignment horizontal="center"/>
    </xf>
    <xf numFmtId="2" fontId="53" fillId="17" borderId="0" xfId="0" applyNumberFormat="1" applyFont="1" applyFill="1" applyAlignment="1">
      <alignment horizontal="center"/>
    </xf>
    <xf numFmtId="0" fontId="53" fillId="0" borderId="11" xfId="0" applyFont="1" applyBorder="1"/>
    <xf numFmtId="0" fontId="53" fillId="0" borderId="12" xfId="0" applyFont="1" applyBorder="1" applyAlignment="1">
      <alignment horizontal="left"/>
    </xf>
    <xf numFmtId="0" fontId="53" fillId="0" borderId="12" xfId="0" applyFont="1" applyBorder="1" applyAlignment="1">
      <alignment horizontal="center"/>
    </xf>
    <xf numFmtId="0" fontId="53" fillId="0" borderId="10" xfId="0" applyFont="1" applyBorder="1" applyAlignment="1">
      <alignment horizontal="center"/>
    </xf>
    <xf numFmtId="0" fontId="53" fillId="0" borderId="6" xfId="0" applyFont="1" applyBorder="1" applyAlignment="1">
      <alignment horizontal="center"/>
    </xf>
    <xf numFmtId="0" fontId="54" fillId="0" borderId="6" xfId="5" applyFont="1" applyBorder="1" applyProtection="1">
      <protection hidden="1"/>
    </xf>
    <xf numFmtId="0" fontId="74" fillId="5" borderId="6" xfId="5" applyFont="1" applyFill="1" applyBorder="1" applyProtection="1">
      <protection hidden="1"/>
    </xf>
    <xf numFmtId="0" fontId="54" fillId="6" borderId="0" xfId="5" applyFont="1" applyFill="1" applyAlignment="1" applyProtection="1">
      <alignment horizontal="centerContinuous"/>
      <protection hidden="1"/>
    </xf>
    <xf numFmtId="0" fontId="53" fillId="0" borderId="6" xfId="0" applyFont="1" applyBorder="1" applyAlignment="1">
      <alignment horizontal="left"/>
    </xf>
    <xf numFmtId="0" fontId="53" fillId="0" borderId="6" xfId="0" applyFont="1" applyBorder="1"/>
    <xf numFmtId="173" fontId="53" fillId="0" borderId="6" xfId="0" applyNumberFormat="1" applyFont="1" applyBorder="1"/>
    <xf numFmtId="175" fontId="53" fillId="0" borderId="6" xfId="0" applyNumberFormat="1" applyFont="1" applyBorder="1"/>
    <xf numFmtId="0" fontId="76" fillId="0" borderId="0" xfId="0" applyFont="1" applyAlignment="1">
      <alignment horizontal="center"/>
    </xf>
    <xf numFmtId="0" fontId="2" fillId="0" borderId="0" xfId="29" applyProtection="1">
      <protection hidden="1"/>
    </xf>
    <xf numFmtId="0" fontId="78" fillId="22" borderId="0" xfId="30" applyFont="1" applyFill="1" applyAlignment="1" applyProtection="1">
      <alignment horizontal="left" vertical="center"/>
      <protection hidden="1"/>
    </xf>
    <xf numFmtId="0" fontId="78" fillId="22" borderId="0" xfId="30" applyFont="1" applyFill="1" applyAlignment="1" applyProtection="1">
      <alignment horizontal="left" vertical="center" wrapText="1"/>
      <protection hidden="1"/>
    </xf>
    <xf numFmtId="0" fontId="79" fillId="22" borderId="0" xfId="30" applyFont="1" applyFill="1" applyAlignment="1" applyProtection="1">
      <alignment horizontal="left" vertical="center"/>
      <protection hidden="1"/>
    </xf>
    <xf numFmtId="17" fontId="79" fillId="22" borderId="0" xfId="30" applyNumberFormat="1" applyFont="1" applyFill="1" applyAlignment="1" applyProtection="1">
      <alignment horizontal="left" vertical="center"/>
      <protection hidden="1"/>
    </xf>
    <xf numFmtId="0" fontId="79" fillId="22" borderId="0" xfId="30" applyFont="1" applyFill="1" applyAlignment="1" applyProtection="1">
      <alignment horizontal="left" vertical="center" wrapText="1"/>
      <protection hidden="1"/>
    </xf>
    <xf numFmtId="0" fontId="77" fillId="0" borderId="0" xfId="30" applyProtection="1">
      <protection hidden="1"/>
    </xf>
    <xf numFmtId="0" fontId="80" fillId="22" borderId="0" xfId="30" applyFont="1" applyFill="1" applyAlignment="1" applyProtection="1">
      <alignment vertical="center" wrapText="1"/>
      <protection hidden="1"/>
    </xf>
    <xf numFmtId="0" fontId="77" fillId="22" borderId="0" xfId="30" applyFill="1" applyProtection="1">
      <protection hidden="1"/>
    </xf>
    <xf numFmtId="0" fontId="81" fillId="22" borderId="0" xfId="30" applyFont="1" applyFill="1" applyAlignment="1" applyProtection="1">
      <alignment vertical="center" wrapText="1"/>
      <protection hidden="1"/>
    </xf>
    <xf numFmtId="0" fontId="81" fillId="22" borderId="0" xfId="30" applyFont="1" applyFill="1" applyAlignment="1" applyProtection="1">
      <alignment horizontal="center" vertical="top"/>
      <protection hidden="1"/>
    </xf>
    <xf numFmtId="0" fontId="19" fillId="22" borderId="0" xfId="30" applyFont="1" applyFill="1" applyProtection="1">
      <protection hidden="1"/>
    </xf>
    <xf numFmtId="0" fontId="82" fillId="0" borderId="0" xfId="30" applyFont="1" applyProtection="1">
      <protection hidden="1"/>
    </xf>
    <xf numFmtId="0" fontId="83" fillId="0" borderId="0" xfId="30" applyFont="1" applyAlignment="1" applyProtection="1">
      <alignment vertical="center"/>
      <protection hidden="1"/>
    </xf>
    <xf numFmtId="0" fontId="85" fillId="0" borderId="0" xfId="30" applyFont="1" applyProtection="1">
      <protection hidden="1"/>
    </xf>
    <xf numFmtId="0" fontId="86" fillId="0" borderId="0" xfId="30" applyFont="1" applyAlignment="1" applyProtection="1">
      <alignment vertical="center"/>
      <protection hidden="1"/>
    </xf>
    <xf numFmtId="0" fontId="14" fillId="22" borderId="0" xfId="30" applyFont="1" applyFill="1" applyProtection="1">
      <protection hidden="1"/>
    </xf>
    <xf numFmtId="0" fontId="22" fillId="22" borderId="0" xfId="30" applyFont="1" applyFill="1" applyProtection="1">
      <protection hidden="1"/>
    </xf>
    <xf numFmtId="0" fontId="20" fillId="22" borderId="0" xfId="30" applyFont="1" applyFill="1" applyAlignment="1" applyProtection="1">
      <alignment horizontal="left"/>
      <protection hidden="1"/>
    </xf>
    <xf numFmtId="17" fontId="21" fillId="22" borderId="0" xfId="30" applyNumberFormat="1" applyFont="1" applyFill="1" applyAlignment="1" applyProtection="1">
      <alignment horizontal="left"/>
      <protection hidden="1"/>
    </xf>
    <xf numFmtId="0" fontId="87" fillId="22" borderId="0" xfId="30" applyFont="1" applyFill="1" applyProtection="1">
      <protection hidden="1"/>
    </xf>
    <xf numFmtId="164" fontId="87" fillId="22" borderId="0" xfId="31" applyFont="1" applyFill="1" applyBorder="1" applyProtection="1">
      <protection hidden="1"/>
    </xf>
    <xf numFmtId="0" fontId="88" fillId="0" borderId="0" xfId="30" applyFont="1" applyAlignment="1" applyProtection="1">
      <alignment wrapText="1"/>
      <protection hidden="1"/>
    </xf>
    <xf numFmtId="0" fontId="89" fillId="22" borderId="0" xfId="30" applyFont="1" applyFill="1" applyAlignment="1" applyProtection="1">
      <alignment vertical="top" wrapText="1"/>
      <protection hidden="1"/>
    </xf>
    <xf numFmtId="0" fontId="18" fillId="23" borderId="0" xfId="30" applyFont="1" applyFill="1" applyAlignment="1" applyProtection="1">
      <alignment vertical="top" wrapText="1"/>
      <protection hidden="1"/>
    </xf>
    <xf numFmtId="0" fontId="17" fillId="23" borderId="0" xfId="30" applyFont="1" applyFill="1" applyAlignment="1" applyProtection="1">
      <alignment vertical="top" wrapText="1"/>
      <protection hidden="1"/>
    </xf>
    <xf numFmtId="0" fontId="17" fillId="23" borderId="0" xfId="30" applyFont="1" applyFill="1" applyProtection="1">
      <protection hidden="1"/>
    </xf>
    <xf numFmtId="0" fontId="87" fillId="23" borderId="0" xfId="30" applyFont="1" applyFill="1" applyProtection="1">
      <protection hidden="1"/>
    </xf>
    <xf numFmtId="0" fontId="91" fillId="22" borderId="0" xfId="30" applyFont="1" applyFill="1" applyProtection="1">
      <protection hidden="1"/>
    </xf>
    <xf numFmtId="0" fontId="91" fillId="23" borderId="0" xfId="30" applyFont="1" applyFill="1" applyProtection="1">
      <protection hidden="1"/>
    </xf>
    <xf numFmtId="0" fontId="78" fillId="5" borderId="0" xfId="30" applyFont="1" applyFill="1" applyAlignment="1" applyProtection="1">
      <alignment horizontal="left" vertical="center"/>
      <protection hidden="1"/>
    </xf>
    <xf numFmtId="0" fontId="2" fillId="5" borderId="0" xfId="29" applyFill="1" applyProtection="1">
      <protection hidden="1"/>
    </xf>
    <xf numFmtId="0" fontId="84" fillId="0" borderId="0" xfId="30" applyFont="1" applyProtection="1">
      <protection hidden="1"/>
    </xf>
    <xf numFmtId="0" fontId="77" fillId="5" borderId="0" xfId="30" applyFill="1" applyProtection="1">
      <protection hidden="1"/>
    </xf>
    <xf numFmtId="0" fontId="84" fillId="5" borderId="0" xfId="30" applyFont="1" applyFill="1" applyProtection="1">
      <protection hidden="1"/>
    </xf>
    <xf numFmtId="43" fontId="30" fillId="7" borderId="0" xfId="1" applyNumberFormat="1" applyFont="1" applyFill="1" applyBorder="1" applyAlignment="1" applyProtection="1">
      <alignment vertical="center"/>
      <protection hidden="1"/>
    </xf>
    <xf numFmtId="0" fontId="22" fillId="0" borderId="0" xfId="0" applyFont="1" applyAlignment="1" applyProtection="1">
      <alignment horizontal="left"/>
      <protection hidden="1"/>
    </xf>
    <xf numFmtId="0" fontId="54" fillId="8" borderId="17" xfId="0" applyFont="1" applyFill="1" applyBorder="1" applyAlignment="1" applyProtection="1">
      <alignment vertical="center"/>
      <protection hidden="1"/>
    </xf>
    <xf numFmtId="0" fontId="54" fillId="8" borderId="17" xfId="0" applyFont="1" applyFill="1" applyBorder="1" applyAlignment="1" applyProtection="1">
      <alignment vertical="center"/>
      <protection locked="0"/>
    </xf>
    <xf numFmtId="3" fontId="54" fillId="8" borderId="17" xfId="0" applyNumberFormat="1" applyFont="1" applyFill="1" applyBorder="1" applyAlignment="1" applyProtection="1">
      <alignment vertical="center"/>
      <protection locked="0"/>
    </xf>
    <xf numFmtId="9" fontId="54" fillId="8" borderId="17" xfId="0" applyNumberFormat="1" applyFont="1" applyFill="1" applyBorder="1" applyAlignment="1" applyProtection="1">
      <alignment vertical="center"/>
      <protection locked="0"/>
    </xf>
    <xf numFmtId="170" fontId="54" fillId="8" borderId="17" xfId="0" applyNumberFormat="1" applyFont="1" applyFill="1" applyBorder="1" applyAlignment="1" applyProtection="1">
      <alignment vertical="center"/>
      <protection locked="0"/>
    </xf>
    <xf numFmtId="0" fontId="51" fillId="14" borderId="23" xfId="0" applyFont="1" applyFill="1" applyBorder="1" applyAlignment="1" applyProtection="1">
      <alignment horizontal="left" vertical="center" wrapText="1"/>
      <protection hidden="1"/>
    </xf>
    <xf numFmtId="0" fontId="51" fillId="14" borderId="24" xfId="0" applyFont="1" applyFill="1" applyBorder="1" applyAlignment="1" applyProtection="1">
      <alignment horizontal="left" vertical="center" wrapText="1"/>
      <protection hidden="1"/>
    </xf>
    <xf numFmtId="0" fontId="51" fillId="9" borderId="23" xfId="0" applyFont="1" applyFill="1" applyBorder="1" applyAlignment="1" applyProtection="1">
      <alignment horizontal="left" vertical="center" wrapText="1"/>
      <protection hidden="1"/>
    </xf>
    <xf numFmtId="0" fontId="51" fillId="9" borderId="1" xfId="0" applyFont="1" applyFill="1" applyBorder="1" applyAlignment="1" applyProtection="1">
      <alignment horizontal="left" vertical="center" wrapText="1"/>
      <protection hidden="1"/>
    </xf>
    <xf numFmtId="0" fontId="51" fillId="9" borderId="42" xfId="0" applyFont="1" applyFill="1" applyBorder="1" applyAlignment="1" applyProtection="1">
      <alignment horizontal="left" vertical="center" wrapText="1"/>
      <protection hidden="1"/>
    </xf>
    <xf numFmtId="0" fontId="51" fillId="9" borderId="43" xfId="0" applyFont="1" applyFill="1" applyBorder="1" applyAlignment="1" applyProtection="1">
      <alignment horizontal="left" vertical="center" wrapText="1"/>
      <protection hidden="1"/>
    </xf>
    <xf numFmtId="0" fontId="53" fillId="0" borderId="0" xfId="0" applyFont="1" applyAlignment="1">
      <alignment horizontal="center"/>
    </xf>
    <xf numFmtId="166" fontId="53" fillId="0" borderId="0" xfId="0" applyNumberFormat="1" applyFont="1" applyAlignment="1">
      <alignment horizontal="center"/>
    </xf>
    <xf numFmtId="0" fontId="54" fillId="0" borderId="42" xfId="0" applyFont="1" applyBorder="1"/>
    <xf numFmtId="0" fontId="53" fillId="0" borderId="43" xfId="0" applyFont="1" applyBorder="1"/>
    <xf numFmtId="0" fontId="53" fillId="0" borderId="47" xfId="0" applyFont="1" applyBorder="1"/>
    <xf numFmtId="0" fontId="54" fillId="0" borderId="20" xfId="0" applyFont="1" applyBorder="1"/>
    <xf numFmtId="0" fontId="53" fillId="0" borderId="21" xfId="0" applyFont="1" applyBorder="1"/>
    <xf numFmtId="0" fontId="53" fillId="0" borderId="22" xfId="0" applyFont="1" applyBorder="1"/>
    <xf numFmtId="0" fontId="53" fillId="0" borderId="23" xfId="0" applyFont="1" applyBorder="1"/>
    <xf numFmtId="0" fontId="53" fillId="0" borderId="24" xfId="0" applyFont="1" applyBorder="1" applyAlignment="1">
      <alignment horizontal="center"/>
    </xf>
    <xf numFmtId="0" fontId="53" fillId="0" borderId="25" xfId="0" applyFont="1" applyBorder="1"/>
    <xf numFmtId="0" fontId="53" fillId="0" borderId="26" xfId="0" applyFont="1" applyBorder="1" applyAlignment="1">
      <alignment horizontal="center"/>
    </xf>
    <xf numFmtId="169" fontId="53" fillId="0" borderId="26" xfId="0" applyNumberFormat="1" applyFont="1" applyBorder="1" applyAlignment="1">
      <alignment horizontal="center"/>
    </xf>
    <xf numFmtId="173" fontId="53" fillId="0" borderId="27" xfId="0" applyNumberFormat="1" applyFont="1" applyBorder="1" applyAlignment="1">
      <alignment horizontal="center"/>
    </xf>
    <xf numFmtId="0" fontId="53" fillId="0" borderId="20" xfId="0" applyFont="1" applyBorder="1"/>
    <xf numFmtId="0" fontId="53" fillId="0" borderId="21" xfId="0" applyFont="1" applyBorder="1" applyAlignment="1">
      <alignment horizontal="center"/>
    </xf>
    <xf numFmtId="0" fontId="53" fillId="0" borderId="22" xfId="0" applyFont="1" applyBorder="1" applyAlignment="1">
      <alignment horizontal="center"/>
    </xf>
    <xf numFmtId="167" fontId="53" fillId="0" borderId="26" xfId="0" applyNumberFormat="1" applyFont="1" applyBorder="1" applyAlignment="1">
      <alignment horizontal="center"/>
    </xf>
    <xf numFmtId="166" fontId="53" fillId="0" borderId="27" xfId="0" applyNumberFormat="1" applyFont="1" applyBorder="1" applyAlignment="1">
      <alignment horizontal="center"/>
    </xf>
    <xf numFmtId="166" fontId="53" fillId="0" borderId="22" xfId="0" applyNumberFormat="1" applyFont="1" applyBorder="1" applyAlignment="1">
      <alignment horizontal="center"/>
    </xf>
    <xf numFmtId="2" fontId="53" fillId="0" borderId="26" xfId="0" applyNumberFormat="1" applyFont="1" applyBorder="1" applyAlignment="1">
      <alignment horizontal="center"/>
    </xf>
    <xf numFmtId="175" fontId="53" fillId="0" borderId="27" xfId="0" applyNumberFormat="1" applyFont="1" applyBorder="1" applyAlignment="1">
      <alignment horizontal="center"/>
    </xf>
    <xf numFmtId="0" fontId="47" fillId="0" borderId="6" xfId="14" applyFont="1" applyBorder="1"/>
    <xf numFmtId="0" fontId="51" fillId="0" borderId="6" xfId="14" applyFont="1" applyBorder="1"/>
    <xf numFmtId="0" fontId="47" fillId="0" borderId="11" xfId="14" applyFont="1" applyBorder="1" applyAlignment="1">
      <alignment horizontal="center" vertical="center" wrapText="1"/>
    </xf>
    <xf numFmtId="0" fontId="51" fillId="0" borderId="10" xfId="14" applyFont="1" applyBorder="1"/>
    <xf numFmtId="0" fontId="51" fillId="0" borderId="6" xfId="14" applyFont="1" applyBorder="1" applyAlignment="1">
      <alignment wrapText="1"/>
    </xf>
    <xf numFmtId="169" fontId="47" fillId="0" borderId="6" xfId="14" applyNumberFormat="1" applyFont="1" applyBorder="1"/>
    <xf numFmtId="0" fontId="17" fillId="0" borderId="0" xfId="0" applyFont="1"/>
    <xf numFmtId="0" fontId="20" fillId="0" borderId="0" xfId="0" applyFont="1" applyAlignment="1" applyProtection="1">
      <alignment horizontal="left"/>
      <protection hidden="1"/>
    </xf>
    <xf numFmtId="167" fontId="21" fillId="0" borderId="0" xfId="0" applyNumberFormat="1" applyFont="1" applyAlignment="1" applyProtection="1">
      <alignment horizontal="left"/>
      <protection hidden="1"/>
    </xf>
    <xf numFmtId="17" fontId="21" fillId="0" borderId="0" xfId="0" applyNumberFormat="1" applyFont="1" applyAlignment="1" applyProtection="1">
      <alignment horizontal="left"/>
      <protection hidden="1"/>
    </xf>
    <xf numFmtId="0" fontId="93" fillId="0" borderId="0" xfId="0" applyFont="1"/>
    <xf numFmtId="14" fontId="53" fillId="0" borderId="0" xfId="0" applyNumberFormat="1" applyFont="1"/>
    <xf numFmtId="0" fontId="92" fillId="0" borderId="0" xfId="32"/>
    <xf numFmtId="0" fontId="47" fillId="12" borderId="0" xfId="5" applyFont="1" applyFill="1"/>
    <xf numFmtId="0" fontId="54" fillId="11" borderId="29" xfId="0" applyFont="1" applyFill="1" applyBorder="1" applyAlignment="1" applyProtection="1">
      <alignment horizontal="centerContinuous"/>
      <protection hidden="1"/>
    </xf>
    <xf numFmtId="180" fontId="54" fillId="10" borderId="0" xfId="0" applyNumberFormat="1" applyFont="1" applyFill="1" applyAlignment="1" applyProtection="1">
      <alignment vertical="center"/>
      <protection hidden="1"/>
    </xf>
    <xf numFmtId="166" fontId="56" fillId="5" borderId="0" xfId="0" applyNumberFormat="1" applyFont="1" applyFill="1" applyAlignment="1" applyProtection="1">
      <alignment horizontal="right"/>
      <protection hidden="1"/>
    </xf>
    <xf numFmtId="0" fontId="53" fillId="6" borderId="18" xfId="0" applyFont="1" applyFill="1" applyBorder="1" applyProtection="1">
      <protection hidden="1"/>
    </xf>
    <xf numFmtId="0" fontId="53" fillId="6" borderId="19" xfId="0" applyFont="1" applyFill="1" applyBorder="1" applyProtection="1">
      <protection hidden="1"/>
    </xf>
    <xf numFmtId="0" fontId="51" fillId="9" borderId="17" xfId="0" applyFont="1" applyFill="1" applyBorder="1" applyAlignment="1">
      <alignment horizontal="left" vertical="center" wrapText="1"/>
    </xf>
    <xf numFmtId="0" fontId="54" fillId="9" borderId="17" xfId="0" applyFont="1" applyFill="1" applyBorder="1" applyAlignment="1" applyProtection="1">
      <alignment horizontal="right" vertical="center" wrapText="1"/>
      <protection hidden="1"/>
    </xf>
    <xf numFmtId="0" fontId="47" fillId="2" borderId="0" xfId="2" applyFont="1" applyBorder="1" applyAlignment="1">
      <alignment horizontal="left" vertical="center" wrapText="1"/>
    </xf>
    <xf numFmtId="0" fontId="47" fillId="3" borderId="0" xfId="3" applyFont="1" applyBorder="1" applyAlignment="1">
      <alignment horizontal="left" vertical="center" wrapText="1"/>
    </xf>
    <xf numFmtId="0" fontId="56" fillId="14" borderId="21" xfId="0" applyFont="1" applyFill="1" applyBorder="1" applyAlignment="1" applyProtection="1">
      <alignment wrapText="1"/>
      <protection hidden="1"/>
    </xf>
    <xf numFmtId="0" fontId="53" fillId="14" borderId="25" xfId="0" applyFont="1" applyFill="1" applyBorder="1" applyAlignment="1" applyProtection="1">
      <alignment wrapText="1"/>
      <protection hidden="1"/>
    </xf>
    <xf numFmtId="0" fontId="53" fillId="14" borderId="26" xfId="0" applyFont="1" applyFill="1" applyBorder="1" applyAlignment="1" applyProtection="1">
      <alignment wrapText="1"/>
      <protection hidden="1"/>
    </xf>
    <xf numFmtId="0" fontId="51" fillId="9" borderId="18" xfId="0" applyFont="1" applyFill="1" applyBorder="1" applyAlignment="1" applyProtection="1">
      <alignment horizontal="right" vertical="center" wrapText="1"/>
      <protection hidden="1"/>
    </xf>
    <xf numFmtId="0" fontId="47" fillId="11" borderId="29" xfId="2" applyFont="1" applyFill="1" applyBorder="1" applyAlignment="1">
      <alignment horizontal="left" vertical="center" wrapText="1"/>
    </xf>
    <xf numFmtId="0" fontId="51" fillId="20" borderId="18" xfId="3" applyFont="1" applyFill="1" applyBorder="1" applyAlignment="1">
      <alignment horizontal="left" vertical="center" wrapText="1"/>
    </xf>
    <xf numFmtId="0" fontId="51" fillId="20" borderId="29" xfId="3" applyFont="1" applyFill="1" applyBorder="1" applyAlignment="1">
      <alignment horizontal="left" vertical="center" wrapText="1"/>
    </xf>
    <xf numFmtId="0" fontId="51" fillId="20" borderId="19" xfId="3" applyFont="1" applyFill="1" applyBorder="1" applyAlignment="1">
      <alignment horizontal="left" vertical="center" wrapText="1"/>
    </xf>
    <xf numFmtId="0" fontId="47" fillId="20" borderId="29" xfId="3" applyFont="1" applyFill="1" applyBorder="1" applyAlignment="1">
      <alignment horizontal="left" vertical="center" wrapText="1"/>
    </xf>
    <xf numFmtId="0" fontId="47" fillId="20" borderId="18" xfId="3" applyFont="1" applyFill="1" applyBorder="1" applyAlignment="1">
      <alignment horizontal="left" vertical="center" wrapText="1"/>
    </xf>
    <xf numFmtId="0" fontId="47" fillId="20" borderId="19" xfId="3" applyFont="1" applyFill="1" applyBorder="1" applyAlignment="1">
      <alignment horizontal="left" vertical="center" wrapText="1"/>
    </xf>
    <xf numFmtId="0" fontId="47" fillId="14" borderId="25" xfId="0" applyFont="1" applyFill="1" applyBorder="1" applyAlignment="1" applyProtection="1">
      <alignment wrapText="1"/>
      <protection hidden="1"/>
    </xf>
    <xf numFmtId="0" fontId="47" fillId="14" borderId="26" xfId="0" applyFont="1" applyFill="1" applyBorder="1" applyAlignment="1" applyProtection="1">
      <alignment wrapText="1"/>
      <protection hidden="1"/>
    </xf>
    <xf numFmtId="0" fontId="47" fillId="14" borderId="27" xfId="0" applyFont="1" applyFill="1" applyBorder="1" applyAlignment="1" applyProtection="1">
      <alignment wrapText="1"/>
      <protection hidden="1"/>
    </xf>
    <xf numFmtId="184" fontId="54" fillId="10" borderId="0" xfId="0" applyNumberFormat="1" applyFont="1" applyFill="1" applyAlignment="1" applyProtection="1">
      <alignment vertical="center"/>
      <protection hidden="1"/>
    </xf>
    <xf numFmtId="0" fontId="51" fillId="9" borderId="46" xfId="0" applyFont="1" applyFill="1" applyBorder="1" applyAlignment="1">
      <alignment horizontal="left" vertical="center" wrapText="1"/>
    </xf>
    <xf numFmtId="0" fontId="54" fillId="9" borderId="3" xfId="0" applyFont="1" applyFill="1" applyBorder="1" applyAlignment="1" applyProtection="1">
      <alignment horizontal="left" vertical="center" wrapText="1"/>
      <protection hidden="1"/>
    </xf>
    <xf numFmtId="0" fontId="51" fillId="9" borderId="15" xfId="0" applyFont="1" applyFill="1" applyBorder="1" applyAlignment="1">
      <alignment horizontal="left" vertical="center" wrapText="1"/>
    </xf>
    <xf numFmtId="0" fontId="51" fillId="14" borderId="0" xfId="0" applyFont="1" applyFill="1" applyAlignment="1" applyProtection="1">
      <alignment horizontal="left" vertical="center" wrapText="1"/>
      <protection hidden="1"/>
    </xf>
    <xf numFmtId="0" fontId="51" fillId="9" borderId="0" xfId="0" applyFont="1" applyFill="1" applyAlignment="1" applyProtection="1">
      <alignment horizontal="left" vertical="center" wrapText="1"/>
      <protection hidden="1"/>
    </xf>
    <xf numFmtId="0" fontId="47" fillId="11" borderId="26" xfId="2" applyFont="1" applyFill="1" applyBorder="1" applyAlignment="1">
      <alignment horizontal="left" vertical="center" wrapText="1"/>
    </xf>
    <xf numFmtId="0" fontId="47" fillId="11" borderId="27" xfId="2" applyFont="1" applyFill="1" applyBorder="1" applyAlignment="1">
      <alignment horizontal="left" vertical="center" wrapText="1"/>
    </xf>
    <xf numFmtId="0" fontId="47" fillId="20" borderId="25" xfId="3" applyFont="1" applyFill="1" applyBorder="1" applyAlignment="1">
      <alignment horizontal="left" vertical="center" wrapText="1"/>
    </xf>
    <xf numFmtId="0" fontId="47" fillId="20" borderId="26" xfId="3" applyFont="1" applyFill="1" applyBorder="1" applyAlignment="1">
      <alignment horizontal="left" vertical="center" wrapText="1"/>
    </xf>
    <xf numFmtId="0" fontId="47" fillId="20" borderId="27" xfId="3" applyFont="1" applyFill="1" applyBorder="1" applyAlignment="1">
      <alignment horizontal="left" vertical="center" wrapText="1"/>
    </xf>
    <xf numFmtId="9" fontId="54" fillId="8" borderId="17" xfId="16" applyFont="1" applyFill="1" applyBorder="1" applyAlignment="1" applyProtection="1">
      <alignment vertical="center"/>
      <protection locked="0"/>
    </xf>
    <xf numFmtId="3" fontId="54" fillId="8" borderId="9" xfId="0" applyNumberFormat="1" applyFont="1" applyFill="1" applyBorder="1" applyAlignment="1" applyProtection="1">
      <alignment vertical="center"/>
      <protection locked="0"/>
    </xf>
    <xf numFmtId="170" fontId="56" fillId="5" borderId="0" xfId="0" applyNumberFormat="1" applyFont="1" applyFill="1" applyAlignment="1" applyProtection="1">
      <alignment horizontal="right"/>
      <protection hidden="1"/>
    </xf>
    <xf numFmtId="0" fontId="51" fillId="9" borderId="34" xfId="0" applyFont="1" applyFill="1" applyBorder="1" applyAlignment="1">
      <alignment horizontal="left" vertical="center" wrapText="1"/>
    </xf>
    <xf numFmtId="0" fontId="47" fillId="3" borderId="23" xfId="3" applyFont="1" applyBorder="1" applyAlignment="1">
      <alignment horizontal="left" vertical="center" wrapText="1"/>
    </xf>
    <xf numFmtId="0" fontId="47" fillId="3" borderId="24" xfId="3" applyFont="1" applyBorder="1" applyAlignment="1">
      <alignment horizontal="left" vertical="center" wrapText="1"/>
    </xf>
    <xf numFmtId="0" fontId="51" fillId="20" borderId="25" xfId="3" applyFont="1" applyFill="1" applyBorder="1" applyAlignment="1">
      <alignment horizontal="left" vertical="center" wrapText="1"/>
    </xf>
    <xf numFmtId="0" fontId="51" fillId="20" borderId="26" xfId="3" applyFont="1" applyFill="1" applyBorder="1" applyAlignment="1">
      <alignment horizontal="left" vertical="center" wrapText="1"/>
    </xf>
    <xf numFmtId="0" fontId="51" fillId="20" borderId="27" xfId="3" applyFont="1" applyFill="1" applyBorder="1" applyAlignment="1">
      <alignment horizontal="left" vertical="center" wrapText="1"/>
    </xf>
    <xf numFmtId="180" fontId="56" fillId="5" borderId="0" xfId="0" applyNumberFormat="1" applyFont="1" applyFill="1" applyAlignment="1" applyProtection="1">
      <alignment horizontal="right"/>
      <protection hidden="1"/>
    </xf>
    <xf numFmtId="0" fontId="49" fillId="0" borderId="48" xfId="0" applyFont="1" applyBorder="1"/>
    <xf numFmtId="0" fontId="54" fillId="6" borderId="0" xfId="5" applyFont="1" applyFill="1" applyAlignment="1" applyProtection="1">
      <alignment horizontal="left"/>
      <protection hidden="1"/>
    </xf>
    <xf numFmtId="0" fontId="53" fillId="0" borderId="0" xfId="0" applyFont="1" applyAlignment="1">
      <alignment horizontal="left"/>
    </xf>
    <xf numFmtId="2" fontId="53" fillId="5" borderId="0" xfId="0" applyNumberFormat="1" applyFont="1" applyFill="1" applyProtection="1">
      <protection hidden="1"/>
    </xf>
    <xf numFmtId="0" fontId="14" fillId="9" borderId="49" xfId="0" applyFont="1" applyFill="1" applyBorder="1" applyAlignment="1" applyProtection="1">
      <alignment vertical="center"/>
      <protection hidden="1"/>
    </xf>
    <xf numFmtId="2" fontId="94" fillId="9" borderId="50" xfId="0" applyNumberFormat="1" applyFont="1" applyFill="1" applyBorder="1" applyProtection="1">
      <protection hidden="1"/>
    </xf>
    <xf numFmtId="0" fontId="31" fillId="9" borderId="50" xfId="0" applyFont="1" applyFill="1" applyBorder="1" applyAlignment="1">
      <alignment vertical="center"/>
    </xf>
    <xf numFmtId="0" fontId="33" fillId="9" borderId="50" xfId="0" applyFont="1" applyFill="1" applyBorder="1" applyAlignment="1" applyProtection="1">
      <alignment vertical="center"/>
      <protection hidden="1"/>
    </xf>
    <xf numFmtId="0" fontId="87" fillId="9" borderId="50" xfId="0" applyFont="1" applyFill="1" applyBorder="1" applyProtection="1">
      <protection hidden="1"/>
    </xf>
    <xf numFmtId="0" fontId="95" fillId="9" borderId="52" xfId="0" applyFont="1" applyFill="1" applyBorder="1" applyAlignment="1" applyProtection="1">
      <alignment horizontal="center" vertical="center" wrapText="1"/>
      <protection hidden="1"/>
    </xf>
    <xf numFmtId="0" fontId="14" fillId="9" borderId="53" xfId="0" applyFont="1" applyFill="1" applyBorder="1" applyAlignment="1" applyProtection="1">
      <alignment horizontal="centerContinuous" vertical="center"/>
      <protection hidden="1"/>
    </xf>
    <xf numFmtId="0" fontId="25" fillId="9" borderId="0" xfId="0" applyFont="1" applyFill="1" applyAlignment="1" applyProtection="1">
      <alignment horizontal="centerContinuous" vertical="center"/>
      <protection hidden="1"/>
    </xf>
    <xf numFmtId="0" fontId="25" fillId="9" borderId="7" xfId="0" applyFont="1" applyFill="1" applyBorder="1" applyAlignment="1" applyProtection="1">
      <alignment horizontal="centerContinuous" vertical="center"/>
      <protection hidden="1"/>
    </xf>
    <xf numFmtId="0" fontId="25" fillId="9" borderId="53" xfId="0" applyFont="1" applyFill="1" applyBorder="1" applyAlignment="1" applyProtection="1">
      <alignment horizontal="centerContinuous" vertical="center"/>
      <protection hidden="1"/>
    </xf>
    <xf numFmtId="0" fontId="95" fillId="9" borderId="55" xfId="0" applyFont="1" applyFill="1" applyBorder="1" applyAlignment="1" applyProtection="1">
      <alignment horizontal="centerContinuous" vertical="center" wrapText="1"/>
      <protection hidden="1"/>
    </xf>
    <xf numFmtId="0" fontId="14" fillId="9" borderId="56" xfId="0" applyFont="1" applyFill="1" applyBorder="1" applyAlignment="1" applyProtection="1">
      <alignment vertical="center"/>
      <protection hidden="1"/>
    </xf>
    <xf numFmtId="0" fontId="14" fillId="9" borderId="57" xfId="0" applyFont="1" applyFill="1" applyBorder="1" applyProtection="1">
      <protection hidden="1"/>
    </xf>
    <xf numFmtId="0" fontId="87" fillId="9" borderId="57" xfId="0" applyFont="1" applyFill="1" applyBorder="1" applyProtection="1">
      <protection hidden="1"/>
    </xf>
    <xf numFmtId="0" fontId="95" fillId="9" borderId="59" xfId="0" applyFont="1" applyFill="1" applyBorder="1" applyAlignment="1" applyProtection="1">
      <alignment vertical="center" wrapText="1"/>
      <protection hidden="1"/>
    </xf>
    <xf numFmtId="0" fontId="87" fillId="7" borderId="0" xfId="0" applyFont="1" applyFill="1" applyProtection="1">
      <protection hidden="1"/>
    </xf>
    <xf numFmtId="0" fontId="26" fillId="24" borderId="0" xfId="0" applyFont="1" applyFill="1" applyProtection="1">
      <protection hidden="1"/>
    </xf>
    <xf numFmtId="0" fontId="24" fillId="24" borderId="0" xfId="0" applyFont="1" applyFill="1" applyProtection="1">
      <protection hidden="1"/>
    </xf>
    <xf numFmtId="0" fontId="22" fillId="6" borderId="0" xfId="0" applyFont="1" applyFill="1" applyProtection="1">
      <protection hidden="1"/>
    </xf>
    <xf numFmtId="0" fontId="25" fillId="6" borderId="0" xfId="0" applyFont="1" applyFill="1" applyProtection="1">
      <protection hidden="1"/>
    </xf>
    <xf numFmtId="0" fontId="14" fillId="7" borderId="0" xfId="0" applyFont="1" applyFill="1" applyAlignment="1" applyProtection="1">
      <alignment wrapText="1"/>
      <protection hidden="1"/>
    </xf>
    <xf numFmtId="0" fontId="14" fillId="7" borderId="0" xfId="0" applyFont="1" applyFill="1" applyAlignment="1" applyProtection="1">
      <alignment horizontal="left"/>
      <protection hidden="1"/>
    </xf>
    <xf numFmtId="0" fontId="87" fillId="5" borderId="0" xfId="0" applyFont="1" applyFill="1" applyAlignment="1" applyProtection="1">
      <alignment vertical="center"/>
      <protection hidden="1"/>
    </xf>
    <xf numFmtId="0" fontId="97" fillId="5" borderId="0" xfId="0" applyFont="1" applyFill="1" applyAlignment="1" applyProtection="1">
      <alignment horizontal="left" vertical="center"/>
      <protection hidden="1"/>
    </xf>
    <xf numFmtId="170" fontId="27" fillId="5" borderId="17" xfId="0" applyNumberFormat="1" applyFont="1" applyFill="1" applyBorder="1" applyAlignment="1" applyProtection="1">
      <alignment horizontal="center" vertical="center"/>
      <protection locked="0"/>
    </xf>
    <xf numFmtId="0" fontId="47" fillId="4" borderId="27" xfId="4" applyFont="1" applyBorder="1" applyAlignment="1">
      <alignment horizontal="left" vertical="center" wrapText="1"/>
    </xf>
    <xf numFmtId="0" fontId="47" fillId="4" borderId="26" xfId="4" quotePrefix="1" applyFont="1" applyBorder="1" applyAlignment="1">
      <alignment horizontal="left" vertical="center" wrapText="1"/>
    </xf>
    <xf numFmtId="0" fontId="98" fillId="0" borderId="6" xfId="12" applyFont="1" applyBorder="1" applyAlignment="1">
      <alignment vertical="center"/>
    </xf>
    <xf numFmtId="0" fontId="14" fillId="0" borderId="6" xfId="5" applyFont="1" applyBorder="1" applyProtection="1">
      <protection hidden="1"/>
    </xf>
    <xf numFmtId="0" fontId="98" fillId="0" borderId="6" xfId="0" applyFont="1" applyBorder="1" applyAlignment="1">
      <alignment vertical="center"/>
    </xf>
    <xf numFmtId="0" fontId="1" fillId="0" borderId="0" xfId="5" applyFont="1"/>
    <xf numFmtId="0" fontId="99" fillId="0" borderId="6" xfId="12" applyFont="1" applyBorder="1" applyAlignment="1">
      <alignment vertical="center"/>
    </xf>
    <xf numFmtId="0" fontId="100" fillId="0" borderId="0" xfId="5" applyFont="1"/>
    <xf numFmtId="0" fontId="99" fillId="0" borderId="6" xfId="12" applyFont="1" applyBorder="1" applyAlignment="1">
      <alignment vertical="center" wrapText="1"/>
    </xf>
    <xf numFmtId="0" fontId="27" fillId="11" borderId="8" xfId="5" applyFont="1" applyFill="1" applyBorder="1" applyProtection="1">
      <protection hidden="1"/>
    </xf>
    <xf numFmtId="0" fontId="27" fillId="11" borderId="8" xfId="5" applyFont="1" applyFill="1" applyBorder="1" applyAlignment="1" applyProtection="1">
      <alignment horizontal="centerContinuous"/>
      <protection hidden="1"/>
    </xf>
    <xf numFmtId="0" fontId="51" fillId="25" borderId="29" xfId="4" applyFont="1" applyFill="1" applyBorder="1" applyAlignment="1">
      <alignment horizontal="left" vertical="center" wrapText="1"/>
    </xf>
    <xf numFmtId="0" fontId="51" fillId="25" borderId="26" xfId="4" applyFont="1" applyFill="1" applyBorder="1" applyAlignment="1">
      <alignment horizontal="left" vertical="center" wrapText="1"/>
    </xf>
    <xf numFmtId="0" fontId="53" fillId="14" borderId="27" xfId="0" applyFont="1" applyFill="1" applyBorder="1" applyAlignment="1" applyProtection="1">
      <alignment wrapText="1"/>
      <protection hidden="1"/>
    </xf>
    <xf numFmtId="0" fontId="54" fillId="9" borderId="25" xfId="0" applyFont="1" applyFill="1" applyBorder="1" applyAlignment="1" applyProtection="1">
      <alignment horizontal="left" vertical="center" wrapText="1"/>
      <protection hidden="1"/>
    </xf>
    <xf numFmtId="0" fontId="54" fillId="9" borderId="37" xfId="0" applyFont="1" applyFill="1" applyBorder="1" applyAlignment="1" applyProtection="1">
      <alignment horizontal="left" vertical="center" wrapText="1"/>
      <protection hidden="1"/>
    </xf>
    <xf numFmtId="0" fontId="54" fillId="9" borderId="39" xfId="0" applyFont="1" applyFill="1" applyBorder="1" applyAlignment="1" applyProtection="1">
      <alignment horizontal="left" vertical="center" wrapText="1"/>
      <protection hidden="1"/>
    </xf>
    <xf numFmtId="0" fontId="54" fillId="9" borderId="17" xfId="0" applyFont="1" applyFill="1" applyBorder="1" applyAlignment="1" applyProtection="1">
      <alignment horizontal="centerContinuous" vertical="center"/>
      <protection hidden="1"/>
    </xf>
    <xf numFmtId="0" fontId="54" fillId="8" borderId="42" xfId="0" applyFont="1" applyFill="1" applyBorder="1" applyAlignment="1" applyProtection="1">
      <alignment vertical="center"/>
      <protection hidden="1"/>
    </xf>
    <xf numFmtId="0" fontId="54" fillId="8" borderId="42" xfId="0" applyFont="1" applyFill="1" applyBorder="1" applyAlignment="1" applyProtection="1">
      <alignment vertical="center"/>
      <protection locked="0"/>
    </xf>
    <xf numFmtId="170" fontId="54" fillId="8" borderId="42" xfId="0" applyNumberFormat="1" applyFont="1" applyFill="1" applyBorder="1" applyAlignment="1" applyProtection="1">
      <alignment vertical="center"/>
      <protection locked="0"/>
    </xf>
    <xf numFmtId="3" fontId="54" fillId="8" borderId="42" xfId="0" applyNumberFormat="1" applyFont="1" applyFill="1" applyBorder="1" applyAlignment="1" applyProtection="1">
      <alignment vertical="center"/>
      <protection locked="0"/>
    </xf>
    <xf numFmtId="9" fontId="54" fillId="8" borderId="42" xfId="0" applyNumberFormat="1" applyFont="1" applyFill="1" applyBorder="1" applyAlignment="1" applyProtection="1">
      <alignment vertical="center"/>
      <protection locked="0"/>
    </xf>
    <xf numFmtId="9" fontId="54" fillId="8" borderId="20" xfId="0" applyNumberFormat="1" applyFont="1" applyFill="1" applyBorder="1" applyAlignment="1" applyProtection="1">
      <alignment vertical="center"/>
      <protection locked="0"/>
    </xf>
    <xf numFmtId="0" fontId="14" fillId="5" borderId="30" xfId="0" applyFont="1" applyFill="1" applyBorder="1" applyAlignment="1" applyProtection="1">
      <alignment horizontal="left"/>
      <protection hidden="1"/>
    </xf>
    <xf numFmtId="0" fontId="14" fillId="5" borderId="30" xfId="0" applyFont="1" applyFill="1" applyBorder="1" applyAlignment="1" applyProtection="1">
      <alignment wrapText="1"/>
      <protection hidden="1"/>
    </xf>
    <xf numFmtId="0" fontId="14" fillId="5" borderId="30" xfId="0" applyFont="1" applyFill="1" applyBorder="1" applyAlignment="1" applyProtection="1">
      <alignment horizontal="center"/>
      <protection hidden="1"/>
    </xf>
    <xf numFmtId="0" fontId="25" fillId="5" borderId="30" xfId="0" applyFont="1" applyFill="1" applyBorder="1" applyProtection="1">
      <protection hidden="1"/>
    </xf>
    <xf numFmtId="0" fontId="24" fillId="5" borderId="0" xfId="0" applyFont="1" applyFill="1" applyProtection="1">
      <protection hidden="1"/>
    </xf>
    <xf numFmtId="0" fontId="37" fillId="5" borderId="17" xfId="0" applyFont="1" applyFill="1" applyBorder="1" applyAlignment="1" applyProtection="1">
      <alignment vertical="center"/>
      <protection locked="0" hidden="1"/>
    </xf>
    <xf numFmtId="0" fontId="1" fillId="0" borderId="0" xfId="14" applyFont="1"/>
    <xf numFmtId="0" fontId="51" fillId="0" borderId="60" xfId="14" applyFont="1" applyBorder="1" applyAlignment="1">
      <alignment wrapText="1"/>
    </xf>
    <xf numFmtId="0" fontId="47" fillId="0" borderId="60" xfId="14" applyFont="1" applyBorder="1"/>
    <xf numFmtId="169" fontId="47" fillId="0" borderId="61" xfId="14" applyNumberFormat="1" applyFont="1" applyBorder="1"/>
    <xf numFmtId="0" fontId="51" fillId="0" borderId="61" xfId="6" applyFont="1" applyBorder="1" applyAlignment="1">
      <alignment horizontal="centerContinuous"/>
    </xf>
    <xf numFmtId="0" fontId="47" fillId="0" borderId="60" xfId="6" applyFont="1" applyBorder="1" applyAlignment="1">
      <alignment horizontal="centerContinuous"/>
    </xf>
    <xf numFmtId="0" fontId="47" fillId="0" borderId="60" xfId="11" applyFont="1" applyBorder="1" applyAlignment="1">
      <alignment horizontal="centerContinuous"/>
    </xf>
    <xf numFmtId="0" fontId="47" fillId="0" borderId="60" xfId="11" applyFont="1" applyBorder="1"/>
    <xf numFmtId="0" fontId="47" fillId="0" borderId="61" xfId="11" applyFont="1" applyBorder="1"/>
    <xf numFmtId="0" fontId="1" fillId="0" borderId="6" xfId="12" applyFont="1" applyBorder="1" applyAlignment="1">
      <alignment vertical="center"/>
    </xf>
    <xf numFmtId="0" fontId="1" fillId="0" borderId="60" xfId="12" applyFont="1" applyBorder="1" applyAlignment="1">
      <alignment vertical="center"/>
    </xf>
    <xf numFmtId="0" fontId="1" fillId="0" borderId="61" xfId="18" applyFont="1" applyBorder="1" applyAlignment="1">
      <alignment vertical="center"/>
    </xf>
    <xf numFmtId="0" fontId="1" fillId="0" borderId="6" xfId="0" applyFont="1" applyBorder="1" applyAlignment="1">
      <alignment vertical="center"/>
    </xf>
    <xf numFmtId="0" fontId="53" fillId="0" borderId="61" xfId="5" applyFont="1" applyBorder="1" applyProtection="1">
      <protection hidden="1"/>
    </xf>
    <xf numFmtId="0" fontId="1" fillId="0" borderId="0" xfId="0" applyFont="1" applyAlignment="1">
      <alignment vertical="center"/>
    </xf>
    <xf numFmtId="0" fontId="53" fillId="0" borderId="60" xfId="5" applyFont="1" applyBorder="1" applyProtection="1">
      <protection hidden="1"/>
    </xf>
    <xf numFmtId="166" fontId="1" fillId="0" borderId="0" xfId="5" applyNumberFormat="1" applyFont="1"/>
    <xf numFmtId="173" fontId="1" fillId="0" borderId="0" xfId="5" applyNumberFormat="1" applyFont="1"/>
    <xf numFmtId="183" fontId="1" fillId="0" borderId="0" xfId="5" applyNumberFormat="1" applyFont="1"/>
    <xf numFmtId="171" fontId="1" fillId="0" borderId="0" xfId="5" applyNumberFormat="1" applyFont="1"/>
    <xf numFmtId="0" fontId="1" fillId="0" borderId="6" xfId="18" applyFont="1" applyBorder="1" applyAlignment="1">
      <alignment vertical="center"/>
    </xf>
    <xf numFmtId="175" fontId="1" fillId="0" borderId="0" xfId="5" applyNumberFormat="1" applyFont="1"/>
    <xf numFmtId="0" fontId="1" fillId="0" borderId="0" xfId="18" applyFont="1" applyAlignment="1">
      <alignment vertical="center"/>
    </xf>
    <xf numFmtId="0" fontId="53" fillId="0" borderId="60" xfId="0" applyFont="1" applyBorder="1"/>
    <xf numFmtId="0" fontId="53" fillId="0" borderId="61" xfId="0" applyFont="1" applyBorder="1" applyAlignment="1">
      <alignment horizontal="center"/>
    </xf>
    <xf numFmtId="0" fontId="46" fillId="0" borderId="60" xfId="12" applyFont="1" applyBorder="1" applyAlignment="1">
      <alignment vertical="center"/>
    </xf>
    <xf numFmtId="0" fontId="99" fillId="0" borderId="60" xfId="12" applyFont="1" applyBorder="1" applyAlignment="1">
      <alignment vertical="center"/>
    </xf>
    <xf numFmtId="0" fontId="98" fillId="0" borderId="60" xfId="12" applyFont="1" applyBorder="1" applyAlignment="1">
      <alignment vertical="center"/>
    </xf>
    <xf numFmtId="0" fontId="53" fillId="0" borderId="60" xfId="13" applyFont="1" applyBorder="1" applyAlignment="1">
      <alignment horizontal="center"/>
    </xf>
    <xf numFmtId="0" fontId="27" fillId="5" borderId="63" xfId="0" applyFont="1" applyFill="1" applyBorder="1" applyAlignment="1" applyProtection="1">
      <alignment vertical="center"/>
      <protection hidden="1"/>
    </xf>
    <xf numFmtId="0" fontId="27" fillId="5" borderId="64" xfId="0" applyFont="1" applyFill="1" applyBorder="1" applyAlignment="1" applyProtection="1">
      <alignment vertical="center"/>
      <protection hidden="1"/>
    </xf>
    <xf numFmtId="0" fontId="27" fillId="5" borderId="65" xfId="0" applyFont="1" applyFill="1" applyBorder="1" applyAlignment="1" applyProtection="1">
      <alignment vertical="center"/>
      <protection hidden="1"/>
    </xf>
    <xf numFmtId="0" fontId="27" fillId="5" borderId="64" xfId="0" applyFont="1" applyFill="1" applyBorder="1" applyAlignment="1" applyProtection="1">
      <alignment vertical="center" wrapText="1"/>
      <protection hidden="1"/>
    </xf>
    <xf numFmtId="0" fontId="27" fillId="5" borderId="65" xfId="0" applyFont="1" applyFill="1" applyBorder="1" applyAlignment="1" applyProtection="1">
      <alignment horizontal="right" vertical="center"/>
      <protection hidden="1"/>
    </xf>
    <xf numFmtId="0" fontId="27" fillId="9" borderId="63" xfId="0" applyFont="1" applyFill="1" applyBorder="1" applyAlignment="1" applyProtection="1">
      <alignment vertical="center"/>
      <protection hidden="1"/>
    </xf>
    <xf numFmtId="0" fontId="27" fillId="9" borderId="64" xfId="0" applyFont="1" applyFill="1" applyBorder="1" applyAlignment="1" applyProtection="1">
      <alignment vertical="center" wrapText="1"/>
      <protection hidden="1"/>
    </xf>
    <xf numFmtId="0" fontId="27" fillId="9" borderId="65" xfId="0" applyFont="1" applyFill="1" applyBorder="1" applyAlignment="1" applyProtection="1">
      <alignment horizontal="right" vertical="center"/>
      <protection hidden="1"/>
    </xf>
    <xf numFmtId="0" fontId="54" fillId="6" borderId="62" xfId="0" applyFont="1" applyFill="1" applyBorder="1" applyAlignment="1" applyProtection="1">
      <alignment horizontal="centerContinuous"/>
      <protection hidden="1"/>
    </xf>
    <xf numFmtId="0" fontId="54" fillId="9" borderId="63" xfId="0" applyFont="1" applyFill="1" applyBorder="1" applyAlignment="1" applyProtection="1">
      <alignment horizontal="centerContinuous" vertical="center"/>
      <protection hidden="1"/>
    </xf>
    <xf numFmtId="0" fontId="47" fillId="0" borderId="66" xfId="14" applyFont="1" applyBorder="1"/>
    <xf numFmtId="169" fontId="47" fillId="0" borderId="67" xfId="14" applyNumberFormat="1" applyFont="1" applyBorder="1"/>
    <xf numFmtId="0" fontId="54" fillId="0" borderId="67" xfId="5" applyFont="1" applyBorder="1" applyProtection="1">
      <protection hidden="1"/>
    </xf>
    <xf numFmtId="0" fontId="54" fillId="0" borderId="68" xfId="5" applyFont="1" applyBorder="1" applyProtection="1">
      <protection hidden="1"/>
    </xf>
    <xf numFmtId="0" fontId="53" fillId="0" borderId="67" xfId="5" applyFont="1" applyBorder="1" applyProtection="1">
      <protection hidden="1"/>
    </xf>
    <xf numFmtId="0" fontId="53" fillId="0" borderId="66" xfId="5" applyFont="1" applyBorder="1" applyProtection="1">
      <protection hidden="1"/>
    </xf>
    <xf numFmtId="0" fontId="53" fillId="0" borderId="68" xfId="5" applyFont="1" applyBorder="1" applyProtection="1">
      <protection hidden="1"/>
    </xf>
    <xf numFmtId="0" fontId="47" fillId="0" borderId="69" xfId="6" applyFont="1" applyBorder="1" applyAlignment="1">
      <alignment horizontal="centerContinuous"/>
    </xf>
    <xf numFmtId="0" fontId="47" fillId="0" borderId="66" xfId="11" applyFont="1" applyBorder="1"/>
    <xf numFmtId="0" fontId="47" fillId="0" borderId="70" xfId="11" applyFont="1" applyBorder="1"/>
    <xf numFmtId="0" fontId="47" fillId="0" borderId="67" xfId="11" applyFont="1" applyBorder="1"/>
    <xf numFmtId="0" fontId="1" fillId="0" borderId="66" xfId="12" applyFont="1" applyBorder="1" applyAlignment="1">
      <alignment vertical="center"/>
    </xf>
    <xf numFmtId="0" fontId="1" fillId="0" borderId="70" xfId="12" applyFont="1" applyBorder="1" applyAlignment="1">
      <alignment vertical="center"/>
    </xf>
    <xf numFmtId="0" fontId="53" fillId="0" borderId="70" xfId="5" applyFont="1" applyBorder="1" applyProtection="1">
      <protection hidden="1"/>
    </xf>
    <xf numFmtId="0" fontId="1" fillId="0" borderId="67" xfId="18" applyFont="1" applyBorder="1" applyAlignment="1">
      <alignment vertical="center"/>
    </xf>
    <xf numFmtId="0" fontId="1" fillId="0" borderId="70" xfId="18" applyFont="1" applyBorder="1" applyAlignment="1">
      <alignment vertical="center"/>
    </xf>
    <xf numFmtId="0" fontId="53" fillId="0" borderId="66" xfId="0" applyFont="1" applyBorder="1"/>
    <xf numFmtId="0" fontId="53" fillId="0" borderId="70" xfId="0" applyFont="1" applyBorder="1" applyAlignment="1">
      <alignment horizontal="center"/>
    </xf>
    <xf numFmtId="0" fontId="46" fillId="0" borderId="70" xfId="12" applyFont="1" applyBorder="1" applyAlignment="1">
      <alignment vertical="center"/>
    </xf>
    <xf numFmtId="0" fontId="98" fillId="0" borderId="66" xfId="12" applyFont="1" applyBorder="1" applyAlignment="1">
      <alignment vertical="center"/>
    </xf>
    <xf numFmtId="0" fontId="98" fillId="0" borderId="70" xfId="12" applyFont="1" applyBorder="1" applyAlignment="1">
      <alignment vertical="center"/>
    </xf>
    <xf numFmtId="0" fontId="14" fillId="0" borderId="70" xfId="5" applyFont="1" applyBorder="1" applyProtection="1">
      <protection hidden="1"/>
    </xf>
    <xf numFmtId="15" fontId="21" fillId="5" borderId="0" xfId="0" applyNumberFormat="1" applyFont="1" applyFill="1" applyAlignment="1" applyProtection="1">
      <alignment horizontal="left"/>
      <protection hidden="1"/>
    </xf>
    <xf numFmtId="0" fontId="14" fillId="5" borderId="0" xfId="0" applyFont="1" applyFill="1"/>
    <xf numFmtId="0" fontId="86" fillId="5" borderId="0" xfId="0" applyFont="1" applyFill="1" applyAlignment="1">
      <alignment vertical="center"/>
    </xf>
    <xf numFmtId="0" fontId="23" fillId="5" borderId="0" xfId="0" applyFont="1" applyFill="1"/>
    <xf numFmtId="0" fontId="22" fillId="5" borderId="0" xfId="0" applyFont="1" applyFill="1" applyAlignment="1" applyProtection="1">
      <alignment vertical="center"/>
      <protection hidden="1"/>
    </xf>
    <xf numFmtId="0" fontId="101" fillId="5" borderId="0" xfId="0" applyFont="1" applyFill="1" applyAlignment="1" applyProtection="1">
      <alignment horizontal="left" vertical="top" wrapText="1"/>
      <protection hidden="1"/>
    </xf>
    <xf numFmtId="0" fontId="25" fillId="5" borderId="0" xfId="0" applyFont="1" applyFill="1" applyProtection="1">
      <protection hidden="1"/>
    </xf>
    <xf numFmtId="9" fontId="29" fillId="5" borderId="0" xfId="0" applyNumberFormat="1" applyFont="1" applyFill="1" applyAlignment="1" applyProtection="1">
      <alignment horizontal="left" vertical="top"/>
      <protection hidden="1"/>
    </xf>
    <xf numFmtId="0" fontId="14" fillId="7" borderId="0" xfId="0" applyFont="1" applyFill="1" applyAlignment="1" applyProtection="1">
      <alignment horizontal="center"/>
      <protection locked="0"/>
    </xf>
    <xf numFmtId="9" fontId="29" fillId="7" borderId="0" xfId="0" applyNumberFormat="1" applyFont="1" applyFill="1" applyAlignment="1" applyProtection="1">
      <alignment horizontal="left"/>
      <protection hidden="1"/>
    </xf>
    <xf numFmtId="0" fontId="14" fillId="5" borderId="0" xfId="0" applyFont="1" applyFill="1" applyAlignment="1" applyProtection="1">
      <alignment horizontal="center"/>
      <protection locked="0"/>
    </xf>
    <xf numFmtId="9" fontId="29" fillId="5" borderId="0" xfId="0" applyNumberFormat="1" applyFont="1" applyFill="1" applyAlignment="1" applyProtection="1">
      <alignment horizontal="left"/>
      <protection hidden="1"/>
    </xf>
    <xf numFmtId="0" fontId="27" fillId="5" borderId="0" xfId="0" applyFont="1" applyFill="1" applyAlignment="1">
      <alignment vertical="center" wrapText="1"/>
    </xf>
    <xf numFmtId="0" fontId="14" fillId="5" borderId="0" xfId="0" applyFont="1" applyFill="1" applyAlignment="1">
      <alignment vertical="center" wrapText="1"/>
    </xf>
    <xf numFmtId="0" fontId="27" fillId="5" borderId="0" xfId="0" applyFont="1" applyFill="1" applyAlignment="1">
      <alignment horizontal="left" vertical="center"/>
    </xf>
    <xf numFmtId="0" fontId="27" fillId="5" borderId="0" xfId="0" applyFont="1" applyFill="1" applyAlignment="1" applyProtection="1">
      <alignment horizontal="center" vertical="center"/>
      <protection locked="0"/>
    </xf>
    <xf numFmtId="0" fontId="14" fillId="5" borderId="0" xfId="0" applyFont="1" applyFill="1" applyAlignment="1">
      <alignment horizontal="left"/>
    </xf>
    <xf numFmtId="0" fontId="14" fillId="5" borderId="0" xfId="0" applyFont="1" applyFill="1" applyAlignment="1">
      <alignment wrapText="1"/>
    </xf>
    <xf numFmtId="0" fontId="27" fillId="5" borderId="0" xfId="0" applyFont="1" applyFill="1" applyAlignment="1" applyProtection="1">
      <alignment horizontal="left"/>
      <protection hidden="1"/>
    </xf>
    <xf numFmtId="0" fontId="31" fillId="5" borderId="0" xfId="0" applyFont="1" applyFill="1" applyAlignment="1" applyProtection="1">
      <alignment vertical="top"/>
      <protection hidden="1"/>
    </xf>
    <xf numFmtId="0" fontId="31" fillId="5" borderId="0" xfId="0" applyFont="1" applyFill="1" applyAlignment="1">
      <alignment vertical="top"/>
    </xf>
    <xf numFmtId="0" fontId="31" fillId="5" borderId="0" xfId="0" applyFont="1" applyFill="1" applyProtection="1">
      <protection hidden="1"/>
    </xf>
    <xf numFmtId="1" fontId="27" fillId="5" borderId="0" xfId="0" applyNumberFormat="1" applyFont="1" applyFill="1" applyProtection="1">
      <protection hidden="1"/>
    </xf>
    <xf numFmtId="0" fontId="104" fillId="5" borderId="0" xfId="0" applyFont="1" applyFill="1" applyAlignment="1" applyProtection="1">
      <alignment vertical="top"/>
      <protection hidden="1"/>
    </xf>
    <xf numFmtId="0" fontId="104" fillId="5" borderId="0" xfId="0" applyFont="1" applyFill="1" applyAlignment="1">
      <alignment vertical="top"/>
    </xf>
    <xf numFmtId="3" fontId="103" fillId="5" borderId="0" xfId="0" applyNumberFormat="1" applyFont="1" applyFill="1" applyAlignment="1" applyProtection="1">
      <alignment horizontal="right" vertical="top"/>
      <protection hidden="1"/>
    </xf>
    <xf numFmtId="0" fontId="39" fillId="5" borderId="0" xfId="0" applyFont="1" applyFill="1" applyAlignment="1" applyProtection="1">
      <alignment horizontal="left"/>
      <protection hidden="1"/>
    </xf>
    <xf numFmtId="1" fontId="39" fillId="5" borderId="0" xfId="0" applyNumberFormat="1" applyFont="1" applyFill="1" applyAlignment="1" applyProtection="1">
      <alignment horizontal="right"/>
      <protection hidden="1"/>
    </xf>
    <xf numFmtId="0" fontId="39" fillId="5" borderId="0" xfId="0" applyFont="1" applyFill="1" applyProtection="1">
      <protection hidden="1"/>
    </xf>
    <xf numFmtId="1" fontId="105" fillId="5" borderId="0" xfId="0" applyNumberFormat="1" applyFont="1" applyFill="1" applyProtection="1">
      <protection hidden="1"/>
    </xf>
    <xf numFmtId="0" fontId="107" fillId="5" borderId="0" xfId="0" applyFont="1" applyFill="1" applyProtection="1">
      <protection hidden="1"/>
    </xf>
    <xf numFmtId="0" fontId="14" fillId="5" borderId="8" xfId="0" applyFont="1" applyFill="1" applyBorder="1" applyAlignment="1" applyProtection="1">
      <alignment horizontal="left"/>
      <protection hidden="1"/>
    </xf>
    <xf numFmtId="0" fontId="27" fillId="5" borderId="8" xfId="0" applyFont="1" applyFill="1" applyBorder="1" applyAlignment="1" applyProtection="1">
      <alignment horizontal="left"/>
      <protection hidden="1"/>
    </xf>
    <xf numFmtId="0" fontId="108" fillId="5" borderId="8" xfId="0" applyFont="1" applyFill="1" applyBorder="1" applyAlignment="1" applyProtection="1">
      <alignment horizontal="left"/>
      <protection hidden="1"/>
    </xf>
    <xf numFmtId="3" fontId="106" fillId="5" borderId="8" xfId="0" applyNumberFormat="1" applyFont="1" applyFill="1" applyBorder="1" applyAlignment="1" applyProtection="1">
      <alignment horizontal="right"/>
      <protection hidden="1"/>
    </xf>
    <xf numFmtId="0" fontId="106" fillId="5" borderId="8" xfId="0" applyFont="1" applyFill="1" applyBorder="1" applyProtection="1">
      <protection hidden="1"/>
    </xf>
    <xf numFmtId="0" fontId="104" fillId="5" borderId="8" xfId="0" applyFont="1" applyFill="1" applyBorder="1" applyAlignment="1">
      <alignment vertical="top"/>
    </xf>
    <xf numFmtId="0" fontId="39" fillId="5" borderId="8" xfId="0" applyFont="1" applyFill="1" applyBorder="1" applyProtection="1">
      <protection hidden="1"/>
    </xf>
    <xf numFmtId="0" fontId="104" fillId="5" borderId="0" xfId="0" applyFont="1" applyFill="1" applyProtection="1">
      <protection hidden="1"/>
    </xf>
    <xf numFmtId="0" fontId="39" fillId="7" borderId="0" xfId="0" applyFont="1" applyFill="1" applyProtection="1">
      <protection hidden="1"/>
    </xf>
    <xf numFmtId="0" fontId="39" fillId="7" borderId="0" xfId="0" applyFont="1" applyFill="1" applyAlignment="1" applyProtection="1">
      <alignment horizontal="left"/>
      <protection hidden="1"/>
    </xf>
    <xf numFmtId="0" fontId="22" fillId="7" borderId="0" xfId="0" applyFont="1" applyFill="1" applyAlignment="1" applyProtection="1">
      <alignment horizontal="left"/>
      <protection hidden="1"/>
    </xf>
    <xf numFmtId="168" fontId="14" fillId="7" borderId="0" xfId="0" applyNumberFormat="1" applyFont="1" applyFill="1" applyAlignment="1" applyProtection="1">
      <alignment horizontal="right"/>
      <protection hidden="1"/>
    </xf>
    <xf numFmtId="4" fontId="109" fillId="5" borderId="0" xfId="0" applyNumberFormat="1" applyFont="1" applyFill="1" applyAlignment="1" applyProtection="1">
      <alignment horizontal="right" vertical="top"/>
      <protection hidden="1"/>
    </xf>
    <xf numFmtId="0" fontId="41" fillId="7" borderId="0" xfId="0" applyFont="1" applyFill="1" applyAlignment="1">
      <alignment vertical="center"/>
    </xf>
    <xf numFmtId="0" fontId="42" fillId="7" borderId="0" xfId="0" applyFont="1" applyFill="1" applyProtection="1">
      <protection hidden="1"/>
    </xf>
    <xf numFmtId="0" fontId="14" fillId="5" borderId="8" xfId="0" applyFont="1" applyFill="1" applyBorder="1" applyProtection="1">
      <protection hidden="1"/>
    </xf>
    <xf numFmtId="0" fontId="24" fillId="5" borderId="8" xfId="0" applyFont="1" applyFill="1" applyBorder="1" applyProtection="1">
      <protection hidden="1"/>
    </xf>
    <xf numFmtId="0" fontId="110" fillId="5" borderId="0" xfId="0" applyFont="1" applyFill="1" applyAlignment="1" applyProtection="1">
      <alignment horizontal="right"/>
      <protection hidden="1"/>
    </xf>
    <xf numFmtId="0" fontId="27" fillId="0" borderId="28" xfId="0" applyFont="1" applyBorder="1" applyAlignment="1" applyProtection="1">
      <alignment vertical="center"/>
      <protection locked="0"/>
    </xf>
    <xf numFmtId="9" fontId="27" fillId="5" borderId="28" xfId="0" applyNumberFormat="1" applyFont="1" applyFill="1" applyBorder="1" applyAlignment="1" applyProtection="1">
      <alignment vertical="center"/>
      <protection locked="0"/>
    </xf>
    <xf numFmtId="0" fontId="27" fillId="5" borderId="0" xfId="0" applyFont="1" applyFill="1" applyAlignment="1">
      <alignment vertical="center"/>
    </xf>
    <xf numFmtId="0" fontId="14" fillId="5" borderId="0" xfId="0" applyFont="1" applyFill="1" applyAlignment="1">
      <alignment vertical="center"/>
    </xf>
    <xf numFmtId="0" fontId="27" fillId="5" borderId="72" xfId="0" applyFont="1" applyFill="1" applyBorder="1" applyAlignment="1" applyProtection="1">
      <alignment vertical="center"/>
      <protection hidden="1"/>
    </xf>
    <xf numFmtId="0" fontId="27" fillId="5" borderId="73" xfId="0" applyFont="1" applyFill="1" applyBorder="1" applyAlignment="1" applyProtection="1">
      <alignment vertical="center"/>
      <protection hidden="1"/>
    </xf>
    <xf numFmtId="0" fontId="14" fillId="5" borderId="73" xfId="0" applyFont="1" applyFill="1" applyBorder="1" applyAlignment="1" applyProtection="1">
      <alignment vertical="center"/>
      <protection hidden="1"/>
    </xf>
    <xf numFmtId="0" fontId="14" fillId="5" borderId="74" xfId="0" applyFont="1" applyFill="1" applyBorder="1" applyAlignment="1" applyProtection="1">
      <alignment vertical="center"/>
      <protection hidden="1"/>
    </xf>
    <xf numFmtId="0" fontId="27" fillId="5" borderId="75" xfId="0" applyFont="1" applyFill="1" applyBorder="1" applyAlignment="1" applyProtection="1">
      <alignment vertical="center"/>
      <protection hidden="1"/>
    </xf>
    <xf numFmtId="0" fontId="14" fillId="5" borderId="76" xfId="0" applyFont="1" applyFill="1" applyBorder="1" applyAlignment="1" applyProtection="1">
      <alignment vertical="center"/>
      <protection hidden="1"/>
    </xf>
    <xf numFmtId="0" fontId="27" fillId="5" borderId="77" xfId="0" applyFont="1" applyFill="1" applyBorder="1" applyAlignment="1" applyProtection="1">
      <alignment horizontal="left" vertical="center"/>
      <protection hidden="1"/>
    </xf>
    <xf numFmtId="0" fontId="27" fillId="5" borderId="78" xfId="0" applyFont="1" applyFill="1" applyBorder="1" applyAlignment="1">
      <alignment vertical="center" wrapText="1"/>
    </xf>
    <xf numFmtId="0" fontId="14" fillId="5" borderId="78" xfId="0" applyFont="1" applyFill="1" applyBorder="1" applyAlignment="1" applyProtection="1">
      <alignment horizontal="right" vertical="center"/>
      <protection hidden="1"/>
    </xf>
    <xf numFmtId="0" fontId="14" fillId="5" borderId="79" xfId="0" applyFont="1" applyFill="1" applyBorder="1" applyAlignment="1" applyProtection="1">
      <alignment vertical="center"/>
      <protection hidden="1"/>
    </xf>
    <xf numFmtId="0" fontId="27" fillId="5" borderId="73" xfId="0" applyFont="1" applyFill="1" applyBorder="1" applyAlignment="1" applyProtection="1">
      <alignment vertical="center" wrapText="1"/>
      <protection hidden="1"/>
    </xf>
    <xf numFmtId="0" fontId="14" fillId="5" borderId="73" xfId="0" applyFont="1" applyFill="1" applyBorder="1" applyAlignment="1" applyProtection="1">
      <alignment horizontal="right" vertical="center" wrapText="1"/>
      <protection hidden="1"/>
    </xf>
    <xf numFmtId="0" fontId="27" fillId="5" borderId="74" xfId="0" applyFont="1" applyFill="1" applyBorder="1" applyAlignment="1" applyProtection="1">
      <alignment horizontal="right" vertical="center" wrapText="1"/>
      <protection hidden="1"/>
    </xf>
    <xf numFmtId="9" fontId="29" fillId="5" borderId="75" xfId="0" applyNumberFormat="1" applyFont="1" applyFill="1" applyBorder="1" applyAlignment="1" applyProtection="1">
      <alignment horizontal="left" vertical="center"/>
      <protection hidden="1"/>
    </xf>
    <xf numFmtId="0" fontId="27" fillId="5" borderId="76" xfId="0" applyFont="1" applyFill="1" applyBorder="1" applyAlignment="1" applyProtection="1">
      <alignment horizontal="right" vertical="center"/>
      <protection hidden="1"/>
    </xf>
    <xf numFmtId="0" fontId="27" fillId="5" borderId="77" xfId="0" applyFont="1" applyFill="1" applyBorder="1" applyAlignment="1" applyProtection="1">
      <alignment horizontal="right" vertical="center"/>
      <protection hidden="1"/>
    </xf>
    <xf numFmtId="0" fontId="27" fillId="5" borderId="78" xfId="0" applyFont="1" applyFill="1" applyBorder="1" applyAlignment="1" applyProtection="1">
      <alignment horizontal="right" vertical="center"/>
      <protection hidden="1"/>
    </xf>
    <xf numFmtId="0" fontId="14" fillId="5" borderId="78" xfId="0" applyFont="1" applyFill="1" applyBorder="1" applyAlignment="1" applyProtection="1">
      <alignment vertical="center"/>
      <protection hidden="1"/>
    </xf>
    <xf numFmtId="0" fontId="27" fillId="5" borderId="79" xfId="0" applyFont="1" applyFill="1" applyBorder="1" applyAlignment="1" applyProtection="1">
      <alignment horizontal="right" vertical="center"/>
      <protection hidden="1"/>
    </xf>
    <xf numFmtId="0" fontId="63" fillId="5" borderId="0" xfId="0" applyFont="1" applyFill="1" applyProtection="1">
      <protection hidden="1"/>
    </xf>
    <xf numFmtId="0" fontId="107" fillId="5" borderId="0" xfId="0" applyFont="1" applyFill="1" applyAlignment="1" applyProtection="1">
      <alignment vertical="center"/>
      <protection hidden="1"/>
    </xf>
    <xf numFmtId="3" fontId="102" fillId="5" borderId="0" xfId="0" applyNumberFormat="1" applyFont="1" applyFill="1" applyAlignment="1" applyProtection="1">
      <alignment vertical="top"/>
      <protection hidden="1"/>
    </xf>
    <xf numFmtId="0" fontId="106" fillId="5" borderId="0" xfId="0" applyFont="1" applyFill="1" applyAlignment="1" applyProtection="1">
      <alignment horizontal="right" vertical="center"/>
      <protection hidden="1"/>
    </xf>
    <xf numFmtId="0" fontId="39" fillId="5" borderId="0" xfId="0" applyFont="1" applyFill="1" applyAlignment="1" applyProtection="1">
      <alignment vertical="center"/>
      <protection hidden="1"/>
    </xf>
    <xf numFmtId="0" fontId="104" fillId="5" borderId="0" xfId="0" applyFont="1" applyFill="1" applyAlignment="1">
      <alignment vertical="center"/>
    </xf>
    <xf numFmtId="0" fontId="26" fillId="5" borderId="0" xfId="0" applyFont="1" applyFill="1" applyAlignment="1" applyProtection="1">
      <alignment vertical="center"/>
      <protection hidden="1"/>
    </xf>
    <xf numFmtId="1" fontId="105" fillId="5" borderId="0" xfId="0" applyNumberFormat="1" applyFont="1" applyFill="1" applyAlignment="1" applyProtection="1">
      <alignment vertical="center"/>
      <protection hidden="1"/>
    </xf>
    <xf numFmtId="0" fontId="27" fillId="0" borderId="28" xfId="0" applyFont="1" applyBorder="1" applyAlignment="1" applyProtection="1">
      <alignment horizontal="right" vertical="center"/>
      <protection locked="0"/>
    </xf>
    <xf numFmtId="170" fontId="54" fillId="8" borderId="0" xfId="0" applyNumberFormat="1" applyFont="1" applyFill="1" applyAlignment="1" applyProtection="1">
      <alignment vertical="center"/>
      <protection locked="0"/>
    </xf>
    <xf numFmtId="0" fontId="27" fillId="0" borderId="6" xfId="5" applyFont="1" applyBorder="1" applyProtection="1">
      <protection hidden="1"/>
    </xf>
    <xf numFmtId="0" fontId="27" fillId="0" borderId="6" xfId="5" applyFont="1" applyBorder="1" applyAlignment="1" applyProtection="1">
      <alignment wrapText="1"/>
      <protection hidden="1"/>
    </xf>
    <xf numFmtId="0" fontId="27" fillId="0" borderId="6" xfId="5" applyFont="1" applyBorder="1" applyAlignment="1" applyProtection="1">
      <alignment horizontal="center" vertical="center" wrapText="1"/>
      <protection hidden="1"/>
    </xf>
    <xf numFmtId="0" fontId="14" fillId="5" borderId="6" xfId="5" applyFont="1" applyFill="1" applyBorder="1" applyProtection="1">
      <protection hidden="1"/>
    </xf>
    <xf numFmtId="0" fontId="14" fillId="0" borderId="60" xfId="5" applyFont="1" applyBorder="1" applyProtection="1">
      <protection hidden="1"/>
    </xf>
    <xf numFmtId="0" fontId="14" fillId="0" borderId="61" xfId="5" applyFont="1" applyBorder="1" applyProtection="1">
      <protection hidden="1"/>
    </xf>
    <xf numFmtId="0" fontId="14" fillId="0" borderId="66" xfId="5" applyFont="1" applyBorder="1" applyProtection="1">
      <protection hidden="1"/>
    </xf>
    <xf numFmtId="0" fontId="14" fillId="0" borderId="67" xfId="5" applyFont="1" applyBorder="1" applyProtection="1">
      <protection hidden="1"/>
    </xf>
    <xf numFmtId="0" fontId="51" fillId="4" borderId="80" xfId="4" applyFont="1" applyBorder="1" applyAlignment="1">
      <alignment horizontal="left" vertical="center" wrapText="1"/>
    </xf>
    <xf numFmtId="0" fontId="47" fillId="4" borderId="80" xfId="4" applyFont="1" applyBorder="1" applyAlignment="1">
      <alignment horizontal="left" vertical="center" wrapText="1"/>
    </xf>
    <xf numFmtId="9" fontId="56" fillId="5" borderId="0" xfId="16" applyFont="1" applyFill="1" applyAlignment="1" applyProtection="1">
      <alignment horizontal="right"/>
      <protection hidden="1"/>
    </xf>
    <xf numFmtId="0" fontId="112" fillId="0" borderId="0" xfId="0" applyFont="1"/>
    <xf numFmtId="0" fontId="113" fillId="0" borderId="0" xfId="0" applyFont="1"/>
    <xf numFmtId="0" fontId="114" fillId="26" borderId="61" xfId="0" applyFont="1" applyFill="1" applyBorder="1" applyAlignment="1">
      <alignment vertical="center" wrapText="1" readingOrder="1"/>
    </xf>
    <xf numFmtId="0" fontId="114" fillId="26" borderId="60" xfId="0" applyFont="1" applyFill="1" applyBorder="1" applyAlignment="1">
      <alignment horizontal="center" vertical="center" wrapText="1" readingOrder="1"/>
    </xf>
    <xf numFmtId="0" fontId="115" fillId="27" borderId="16" xfId="0" applyFont="1" applyFill="1" applyBorder="1" applyAlignment="1">
      <alignment horizontal="center" wrapText="1" readingOrder="1"/>
    </xf>
    <xf numFmtId="0" fontId="113" fillId="27" borderId="70" xfId="0" applyFont="1" applyFill="1" applyBorder="1"/>
    <xf numFmtId="0" fontId="113" fillId="27" borderId="81" xfId="0" applyFont="1" applyFill="1" applyBorder="1"/>
    <xf numFmtId="0" fontId="113" fillId="27" borderId="66" xfId="0" applyFont="1" applyFill="1" applyBorder="1" applyAlignment="1">
      <alignment horizontal="center" vertical="center"/>
    </xf>
    <xf numFmtId="0" fontId="113" fillId="27" borderId="16" xfId="0" applyFont="1" applyFill="1" applyBorder="1" applyAlignment="1">
      <alignment horizontal="center" vertical="center"/>
    </xf>
    <xf numFmtId="0" fontId="113" fillId="27" borderId="68" xfId="0" applyFont="1" applyFill="1" applyBorder="1"/>
    <xf numFmtId="0" fontId="113" fillId="27" borderId="0" xfId="0" applyFont="1" applyFill="1"/>
    <xf numFmtId="0" fontId="114" fillId="26" borderId="8" xfId="0" applyFont="1" applyFill="1" applyBorder="1" applyAlignment="1">
      <alignment vertical="center" wrapText="1" readingOrder="1"/>
    </xf>
    <xf numFmtId="0" fontId="114" fillId="26" borderId="11" xfId="0" applyFont="1" applyFill="1" applyBorder="1" applyAlignment="1">
      <alignment horizontal="center" vertical="center" wrapText="1" readingOrder="1"/>
    </xf>
    <xf numFmtId="0" fontId="114" fillId="26" borderId="12" xfId="0" applyFont="1" applyFill="1" applyBorder="1" applyAlignment="1">
      <alignment vertical="center" wrapText="1"/>
    </xf>
    <xf numFmtId="0" fontId="114" fillId="26" borderId="10" xfId="0" applyFont="1" applyFill="1" applyBorder="1" applyAlignment="1">
      <alignment vertical="center" wrapText="1"/>
    </xf>
    <xf numFmtId="0" fontId="31" fillId="7" borderId="0" xfId="13" applyFont="1" applyFill="1" applyAlignment="1" applyProtection="1">
      <alignment vertical="center"/>
      <protection hidden="1"/>
    </xf>
    <xf numFmtId="0" fontId="27" fillId="7" borderId="0" xfId="0" applyFont="1" applyFill="1" applyAlignment="1" applyProtection="1">
      <alignment horizontal="left" vertical="center"/>
      <protection hidden="1"/>
    </xf>
    <xf numFmtId="0" fontId="53" fillId="14" borderId="0" xfId="0" applyFont="1" applyFill="1" applyAlignment="1" applyProtection="1">
      <alignment vertical="center" wrapText="1"/>
      <protection hidden="1"/>
    </xf>
    <xf numFmtId="0" fontId="51" fillId="4" borderId="82" xfId="4" applyFont="1" applyBorder="1" applyAlignment="1">
      <alignment horizontal="left" vertical="center" wrapText="1"/>
    </xf>
    <xf numFmtId="0" fontId="47" fillId="4" borderId="82" xfId="4" applyFont="1" applyBorder="1" applyAlignment="1">
      <alignment horizontal="left" vertical="center" wrapText="1"/>
    </xf>
    <xf numFmtId="0" fontId="47" fillId="4" borderId="83" xfId="4" applyFont="1" applyBorder="1" applyAlignment="1">
      <alignment horizontal="left" vertical="center" wrapText="1"/>
    </xf>
    <xf numFmtId="0" fontId="51" fillId="4" borderId="84" xfId="4" applyFont="1" applyBorder="1" applyAlignment="1">
      <alignment horizontal="left" vertical="center" wrapText="1"/>
    </xf>
    <xf numFmtId="0" fontId="51" fillId="14" borderId="21" xfId="4" applyFont="1" applyFill="1" applyBorder="1" applyAlignment="1">
      <alignment horizontal="left" vertical="center" wrapText="1"/>
    </xf>
    <xf numFmtId="0" fontId="54" fillId="14" borderId="18" xfId="0" applyFont="1" applyFill="1" applyBorder="1" applyAlignment="1" applyProtection="1">
      <alignment vertical="center" wrapText="1"/>
      <protection hidden="1"/>
    </xf>
    <xf numFmtId="0" fontId="54" fillId="14" borderId="29" xfId="0" applyFont="1" applyFill="1" applyBorder="1" applyAlignment="1" applyProtection="1">
      <alignment vertical="center" wrapText="1"/>
      <protection hidden="1"/>
    </xf>
    <xf numFmtId="4" fontId="109" fillId="5" borderId="0" xfId="0" applyNumberFormat="1" applyFont="1" applyFill="1" applyAlignment="1" applyProtection="1">
      <alignment vertical="top"/>
      <protection hidden="1"/>
    </xf>
    <xf numFmtId="185" fontId="64" fillId="7" borderId="0" xfId="1" applyNumberFormat="1" applyFont="1" applyFill="1" applyAlignment="1" applyProtection="1">
      <alignment vertical="center"/>
      <protection hidden="1"/>
    </xf>
    <xf numFmtId="164" fontId="64" fillId="7" borderId="0" xfId="1" applyFont="1" applyFill="1" applyAlignment="1" applyProtection="1">
      <alignment vertical="center"/>
      <protection hidden="1"/>
    </xf>
    <xf numFmtId="0" fontId="47" fillId="4" borderId="85" xfId="4" applyFont="1" applyBorder="1" applyAlignment="1">
      <alignment horizontal="left" vertical="center" wrapText="1"/>
    </xf>
    <xf numFmtId="0" fontId="47" fillId="4" borderId="86" xfId="4" applyFont="1" applyBorder="1" applyAlignment="1">
      <alignment horizontal="left" vertical="center" wrapText="1"/>
    </xf>
    <xf numFmtId="0" fontId="47" fillId="4" borderId="87" xfId="4" applyFont="1" applyBorder="1" applyAlignment="1">
      <alignment horizontal="left" vertical="center" wrapText="1"/>
    </xf>
    <xf numFmtId="0" fontId="47" fillId="4" borderId="72" xfId="4" applyFont="1" applyBorder="1" applyAlignment="1">
      <alignment horizontal="left" vertical="center" wrapText="1"/>
    </xf>
    <xf numFmtId="0" fontId="47" fillId="4" borderId="73" xfId="4" applyFont="1" applyBorder="1" applyAlignment="1">
      <alignment horizontal="left" vertical="center" wrapText="1"/>
    </xf>
    <xf numFmtId="164" fontId="30" fillId="19" borderId="17" xfId="1" applyFont="1" applyFill="1" applyBorder="1" applyAlignment="1" applyProtection="1">
      <alignment horizontal="center" vertical="center"/>
      <protection hidden="1"/>
    </xf>
    <xf numFmtId="0" fontId="117" fillId="28" borderId="0" xfId="0" applyFont="1" applyFill="1" applyAlignment="1" applyProtection="1">
      <alignment horizontal="right"/>
      <protection hidden="1"/>
    </xf>
    <xf numFmtId="0" fontId="54" fillId="14" borderId="74" xfId="0" applyFont="1" applyFill="1" applyBorder="1" applyAlignment="1" applyProtection="1">
      <alignment vertical="center" wrapText="1"/>
      <protection hidden="1"/>
    </xf>
    <xf numFmtId="0" fontId="54" fillId="14" borderId="73" xfId="0" applyFont="1" applyFill="1" applyBorder="1" applyAlignment="1" applyProtection="1">
      <alignment vertical="center" wrapText="1"/>
      <protection hidden="1"/>
    </xf>
    <xf numFmtId="0" fontId="47" fillId="14" borderId="85" xfId="0" applyFont="1" applyFill="1" applyBorder="1" applyAlignment="1" applyProtection="1">
      <alignment vertical="center" wrapText="1"/>
      <protection hidden="1"/>
    </xf>
    <xf numFmtId="0" fontId="47" fillId="14" borderId="86" xfId="0" applyFont="1" applyFill="1" applyBorder="1" applyAlignment="1" applyProtection="1">
      <alignment vertical="center" wrapText="1"/>
      <protection hidden="1"/>
    </xf>
    <xf numFmtId="0" fontId="47" fillId="14" borderId="87" xfId="0" applyFont="1" applyFill="1" applyBorder="1" applyAlignment="1" applyProtection="1">
      <alignment vertical="center" wrapText="1"/>
      <protection hidden="1"/>
    </xf>
    <xf numFmtId="170" fontId="117" fillId="28" borderId="0" xfId="0" applyNumberFormat="1" applyFont="1" applyFill="1" applyAlignment="1" applyProtection="1">
      <alignment horizontal="right"/>
      <protection hidden="1"/>
    </xf>
    <xf numFmtId="0" fontId="51" fillId="14" borderId="85" xfId="0" applyFont="1" applyFill="1" applyBorder="1" applyAlignment="1">
      <alignment vertical="center" wrapText="1"/>
    </xf>
    <xf numFmtId="43" fontId="67" fillId="19" borderId="17" xfId="1" applyNumberFormat="1" applyFont="1" applyFill="1" applyBorder="1" applyAlignment="1" applyProtection="1">
      <alignment vertical="center"/>
      <protection hidden="1"/>
    </xf>
    <xf numFmtId="0" fontId="118" fillId="5" borderId="0" xfId="0" applyFont="1" applyFill="1"/>
    <xf numFmtId="0" fontId="119" fillId="5" borderId="0" xfId="0" applyFont="1" applyFill="1"/>
    <xf numFmtId="0" fontId="118" fillId="5" borderId="0" xfId="0" applyFont="1" applyFill="1" applyProtection="1">
      <protection hidden="1"/>
    </xf>
    <xf numFmtId="0" fontId="118" fillId="5" borderId="0" xfId="0" applyFont="1" applyFill="1" applyAlignment="1" applyProtection="1">
      <alignment vertical="center"/>
      <protection hidden="1"/>
    </xf>
    <xf numFmtId="2" fontId="118" fillId="5" borderId="0" xfId="0" applyNumberFormat="1" applyFont="1" applyFill="1" applyAlignment="1" applyProtection="1">
      <alignment vertical="center"/>
      <protection hidden="1"/>
    </xf>
    <xf numFmtId="0" fontId="111" fillId="5" borderId="0" xfId="0" applyFont="1" applyFill="1" applyAlignment="1" applyProtection="1">
      <alignment vertical="center"/>
      <protection hidden="1"/>
    </xf>
    <xf numFmtId="1" fontId="111" fillId="7" borderId="0" xfId="0" applyNumberFormat="1" applyFont="1" applyFill="1" applyProtection="1">
      <protection hidden="1"/>
    </xf>
    <xf numFmtId="0" fontId="120" fillId="7" borderId="0" xfId="0" applyFont="1" applyFill="1" applyProtection="1">
      <protection hidden="1"/>
    </xf>
    <xf numFmtId="4" fontId="54" fillId="10" borderId="0" xfId="0" applyNumberFormat="1" applyFont="1" applyFill="1" applyAlignment="1" applyProtection="1">
      <alignment vertical="center"/>
      <protection hidden="1"/>
    </xf>
    <xf numFmtId="0" fontId="80" fillId="22" borderId="0" xfId="30" applyFont="1" applyFill="1" applyAlignment="1" applyProtection="1">
      <alignment vertical="center" wrapText="1"/>
      <protection hidden="1"/>
    </xf>
    <xf numFmtId="0" fontId="81" fillId="22" borderId="0" xfId="30" applyFont="1" applyFill="1" applyAlignment="1" applyProtection="1">
      <alignment vertical="center" wrapText="1"/>
      <protection hidden="1"/>
    </xf>
    <xf numFmtId="0" fontId="20" fillId="22" borderId="0" xfId="30" applyFont="1" applyFill="1" applyAlignment="1" applyProtection="1">
      <alignment horizontal="left"/>
      <protection hidden="1"/>
    </xf>
    <xf numFmtId="0" fontId="123" fillId="22" borderId="0" xfId="30" applyFont="1" applyFill="1" applyAlignment="1" applyProtection="1">
      <alignment wrapText="1"/>
      <protection hidden="1"/>
    </xf>
    <xf numFmtId="0" fontId="17" fillId="22" borderId="0" xfId="30" applyFont="1" applyFill="1" applyAlignment="1" applyProtection="1">
      <alignment horizontal="center" vertical="center" wrapText="1"/>
      <protection hidden="1"/>
    </xf>
    <xf numFmtId="0" fontId="17" fillId="5" borderId="0" xfId="0" applyFont="1" applyFill="1" applyAlignment="1" applyProtection="1">
      <alignment horizontal="left" vertical="center" wrapText="1"/>
      <protection hidden="1"/>
    </xf>
    <xf numFmtId="0" fontId="18" fillId="6" borderId="0" xfId="0" applyFont="1" applyFill="1" applyAlignment="1" applyProtection="1">
      <alignment horizontal="left" vertical="top" wrapText="1"/>
      <protection hidden="1"/>
    </xf>
    <xf numFmtId="0" fontId="24" fillId="5" borderId="0" xfId="0" applyFont="1" applyFill="1" applyAlignment="1" applyProtection="1">
      <alignment horizontal="left" vertical="top" wrapText="1"/>
      <protection hidden="1"/>
    </xf>
    <xf numFmtId="3" fontId="40" fillId="7" borderId="0" xfId="13" applyNumberFormat="1" applyFont="1" applyFill="1" applyAlignment="1" applyProtection="1">
      <alignment horizontal="right" vertical="top"/>
      <protection hidden="1"/>
    </xf>
    <xf numFmtId="0" fontId="37" fillId="5" borderId="71" xfId="0" applyFont="1" applyFill="1" applyBorder="1" applyAlignment="1" applyProtection="1">
      <alignment horizontal="center" vertical="center"/>
      <protection locked="0"/>
    </xf>
    <xf numFmtId="0" fontId="37" fillId="5" borderId="9" xfId="0" applyFont="1" applyFill="1" applyBorder="1" applyAlignment="1" applyProtection="1">
      <alignment horizontal="center" vertical="center"/>
      <protection locked="0"/>
    </xf>
    <xf numFmtId="0" fontId="25" fillId="7" borderId="1"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0" fontId="54" fillId="0" borderId="0" xfId="5" applyFont="1" applyAlignment="1" applyProtection="1">
      <alignment vertical="center" wrapText="1"/>
      <protection hidden="1"/>
    </xf>
    <xf numFmtId="0" fontId="54" fillId="11" borderId="8" xfId="5" applyFont="1" applyFill="1" applyBorder="1" applyAlignment="1" applyProtection="1">
      <alignment horizontal="center"/>
      <protection hidden="1"/>
    </xf>
    <xf numFmtId="0" fontId="54" fillId="0" borderId="0" xfId="5" applyFont="1" applyAlignment="1" applyProtection="1">
      <alignment horizontal="center" vertical="center" wrapText="1"/>
      <protection hidden="1"/>
    </xf>
    <xf numFmtId="2" fontId="27" fillId="9" borderId="51" xfId="26" applyNumberFormat="1" applyFont="1" applyFill="1" applyBorder="1" applyAlignment="1" applyProtection="1">
      <alignment horizontal="center" vertical="center"/>
      <protection hidden="1"/>
    </xf>
    <xf numFmtId="2" fontId="27" fillId="9" borderId="49" xfId="26" applyNumberFormat="1" applyFont="1" applyFill="1" applyBorder="1" applyAlignment="1" applyProtection="1">
      <alignment horizontal="center" vertical="center"/>
      <protection hidden="1"/>
    </xf>
    <xf numFmtId="0" fontId="87" fillId="9" borderId="58" xfId="0" applyFont="1" applyFill="1" applyBorder="1" applyAlignment="1" applyProtection="1">
      <alignment horizontal="center"/>
      <protection hidden="1"/>
    </xf>
    <xf numFmtId="0" fontId="87" fillId="9" borderId="56" xfId="0" applyFont="1" applyFill="1" applyBorder="1" applyAlignment="1" applyProtection="1">
      <alignment horizontal="center"/>
      <protection hidden="1"/>
    </xf>
    <xf numFmtId="0" fontId="96" fillId="9" borderId="54" xfId="0" applyFont="1" applyFill="1" applyBorder="1" applyAlignment="1" applyProtection="1">
      <alignment horizontal="center" vertical="center"/>
      <protection hidden="1"/>
    </xf>
    <xf numFmtId="0" fontId="96" fillId="9" borderId="53" xfId="0" applyFont="1" applyFill="1" applyBorder="1" applyAlignment="1" applyProtection="1">
      <alignment horizontal="center" vertical="center"/>
      <protection hidden="1"/>
    </xf>
    <xf numFmtId="0" fontId="54" fillId="0" borderId="67" xfId="5" applyFont="1" applyBorder="1" applyAlignment="1" applyProtection="1">
      <alignment horizontal="center" wrapText="1"/>
      <protection hidden="1"/>
    </xf>
    <xf numFmtId="0" fontId="54" fillId="0" borderId="66" xfId="5" applyFont="1" applyBorder="1" applyAlignment="1" applyProtection="1">
      <alignment horizontal="center" wrapText="1"/>
      <protection hidden="1"/>
    </xf>
    <xf numFmtId="0" fontId="114" fillId="26" borderId="10" xfId="0" applyFont="1" applyFill="1" applyBorder="1" applyAlignment="1">
      <alignment horizontal="center" vertical="center"/>
    </xf>
    <xf numFmtId="0" fontId="114" fillId="26" borderId="8" xfId="0" applyFont="1" applyFill="1" applyBorder="1" applyAlignment="1">
      <alignment horizontal="center" vertical="center"/>
    </xf>
    <xf numFmtId="0" fontId="84" fillId="22" borderId="0" xfId="30" applyFont="1" applyFill="1" applyAlignment="1" applyProtection="1">
      <protection hidden="1"/>
    </xf>
  </cellXfs>
  <cellStyles count="34">
    <cellStyle name="20% - Accent1" xfId="2" builtinId="30"/>
    <cellStyle name="40% - Accent2" xfId="3" builtinId="35"/>
    <cellStyle name="40% - Accent4" xfId="4" builtinId="43"/>
    <cellStyle name="Comma" xfId="1" builtinId="3"/>
    <cellStyle name="Comma 2" xfId="23" xr:uid="{76DBE760-1D49-45B7-8B49-3221397A145E}"/>
    <cellStyle name="Comma 3" xfId="26" xr:uid="{C51F6D88-1E70-4485-8E28-938621A0035E}"/>
    <cellStyle name="Comma 4" xfId="31" xr:uid="{38A74683-C75B-4840-9A96-C54DFFDFCE99}"/>
    <cellStyle name="Comma 5" xfId="33" xr:uid="{634A8F6B-4464-4006-AAAE-B10BCCC039A0}"/>
    <cellStyle name="Hyperlink" xfId="32" builtinId="8"/>
    <cellStyle name="Hyperlink 2" xfId="28" xr:uid="{E9CA00E5-3BC2-4CCB-AE76-D90A771126FE}"/>
    <cellStyle name="Normal" xfId="0" builtinId="0"/>
    <cellStyle name="Normal 2" xfId="5" xr:uid="{966F2D71-A017-4A76-86D4-7A36C8549BAE}"/>
    <cellStyle name="Normal 2 2" xfId="17" xr:uid="{C841CDB0-A2A5-4C4A-8187-E68AC35834D3}"/>
    <cellStyle name="Normal 2 2 2" xfId="20" xr:uid="{D50EB64E-52D5-4FB7-BF57-ADD8D5896516}"/>
    <cellStyle name="Normal 3" xfId="8" xr:uid="{DCD7C04B-7179-426D-8154-1FF42ECDB7D9}"/>
    <cellStyle name="Normal 4" xfId="10" xr:uid="{9B330F80-8661-4A03-BA86-775C32857EA0}"/>
    <cellStyle name="Normal 4 2" xfId="30" xr:uid="{6FECDB99-4771-4606-91E7-E14704FA98B2}"/>
    <cellStyle name="Normal 5" xfId="12" xr:uid="{275CF0A0-3AC1-40D1-93F1-C7E5FD500936}"/>
    <cellStyle name="Normal 5 2" xfId="18" xr:uid="{0E234326-E57A-46B8-BB26-1021D5A8E3D3}"/>
    <cellStyle name="Normal 6" xfId="14" xr:uid="{D681CFEB-5F4F-475A-8D99-C98F77BD04B5}"/>
    <cellStyle name="Normal 7" xfId="22" xr:uid="{7D23EF59-BFAA-45F0-9C33-6EDDA256BBDB}"/>
    <cellStyle name="Normal 8" xfId="27" xr:uid="{1AC42699-D27F-41EF-8311-355A5F6E0D06}"/>
    <cellStyle name="Normal 9" xfId="29" xr:uid="{99FE3B1E-82C8-4CA7-B5A2-505E68C0AF45}"/>
    <cellStyle name="Percent" xfId="16" builtinId="5"/>
    <cellStyle name="Percent 2" xfId="9" xr:uid="{B4797750-45D5-43DA-B047-26502C2F0097}"/>
    <cellStyle name="Percent 3" xfId="15" xr:uid="{664E3DFC-77AB-4C1F-A16B-8284C349BF15}"/>
    <cellStyle name="Percent 4" xfId="24" xr:uid="{71DF2E26-BBAD-4804-A4A3-EB7240EE1927}"/>
    <cellStyle name="好 2" xfId="19" xr:uid="{3CD26595-6311-445A-8E63-291DB57E26F3}"/>
    <cellStyle name="常规 2" xfId="6" xr:uid="{A1D68A8B-C2EB-42A8-83D7-52D241930B22}"/>
    <cellStyle name="常规 2 2" xfId="11" xr:uid="{838B7B87-C4B4-4ECB-8AE7-4A86FB6870E9}"/>
    <cellStyle name="常规 2 2 2" xfId="21" xr:uid="{66059F66-D735-49B0-A6FC-F3305F1832F2}"/>
    <cellStyle name="常规 2 3" xfId="25" xr:uid="{8617F6B2-DFB0-4231-8AEE-279376236174}"/>
    <cellStyle name="常规 3" xfId="7" xr:uid="{6BCA4314-3182-4CFB-9F92-25B3B6A9EDCB}"/>
    <cellStyle name="常规 4" xfId="13" xr:uid="{E63ACBE0-4E2A-4597-889A-DFB1FEABBF09}"/>
  </cellStyles>
  <dxfs count="2212">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rgb="FF000000"/>
        </bottom>
      </border>
    </dxf>
    <dxf>
      <border outline="0">
        <left style="thin">
          <color rgb="FF000000"/>
        </left>
        <top style="thin">
          <color rgb="FF000000"/>
        </top>
      </border>
    </dxf>
    <dxf>
      <font>
        <strike val="0"/>
        <outline val="0"/>
        <shadow val="0"/>
        <u val="none"/>
        <vertAlign val="baseline"/>
        <sz val="10"/>
        <name val="Calibri"/>
        <family val="2"/>
        <scheme val="none"/>
      </font>
    </dxf>
    <dxf>
      <font>
        <b/>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dxf>
    <dxf>
      <font>
        <strike val="0"/>
        <outline val="0"/>
        <shadow val="0"/>
        <u val="none"/>
        <vertAlign val="baseline"/>
        <sz val="10"/>
        <name val="Calibri"/>
        <family val="2"/>
        <scheme val="minor"/>
      </font>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border outline="0">
        <left style="thin">
          <color indexed="64"/>
        </left>
        <top style="thin">
          <color indexed="64"/>
        </top>
      </border>
    </dxf>
    <dxf>
      <font>
        <strike val="0"/>
        <outline val="0"/>
        <shadow val="0"/>
        <u val="none"/>
        <vertAlign val="baseline"/>
        <sz val="10"/>
        <name val="Calibri"/>
        <family val="2"/>
        <scheme val="minor"/>
      </font>
    </dxf>
    <dxf>
      <font>
        <b/>
        <i val="0"/>
        <strike val="0"/>
        <condense val="0"/>
        <extend val="0"/>
        <outline val="0"/>
        <shadow val="0"/>
        <u val="none"/>
        <vertAlign val="baseline"/>
        <sz val="10"/>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numFmt numFmtId="171" formatCode="0.0000000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dxf>
    <dxf>
      <font>
        <b/>
        <i val="0"/>
        <strike val="0"/>
        <condense val="0"/>
        <extend val="0"/>
        <outline val="0"/>
        <shadow val="0"/>
        <u val="none"/>
        <vertAlign val="baseline"/>
        <sz val="10"/>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none"/>
      </font>
      <fill>
        <patternFill patternType="solid">
          <fgColor indexed="64"/>
          <bgColor rgb="FFBDD7EE"/>
        </patternFill>
      </fill>
    </dxf>
    <dxf>
      <font>
        <b val="0"/>
        <i val="0"/>
        <strike val="0"/>
        <condense val="0"/>
        <extend val="0"/>
        <outline val="0"/>
        <shadow val="0"/>
        <u val="none"/>
        <vertAlign val="baseline"/>
        <sz val="10"/>
        <color theme="1"/>
        <name val="Calibri"/>
        <family val="2"/>
        <scheme val="none"/>
      </font>
      <fill>
        <patternFill patternType="solid">
          <fgColor indexed="64"/>
          <bgColor rgb="FFBDD7EE"/>
        </patternFill>
      </fill>
      <border diagonalUp="0" diagonalDown="0">
        <left style="thin">
          <color indexed="64"/>
        </left>
        <right style="thin">
          <color indexed="64"/>
        </right>
        <top/>
        <bottom/>
        <vertical/>
        <horizontal/>
      </border>
    </dxf>
    <dxf>
      <font>
        <b val="0"/>
        <i val="0"/>
        <strike val="0"/>
        <condense val="0"/>
        <extend val="0"/>
        <outline val="0"/>
        <shadow val="0"/>
        <u val="none"/>
        <vertAlign val="baseline"/>
        <sz val="10"/>
        <color rgb="FF000000"/>
        <name val="Calibri"/>
        <family val="2"/>
        <scheme val="none"/>
      </font>
      <fill>
        <patternFill patternType="solid">
          <fgColor indexed="64"/>
          <bgColor rgb="FFBDD7EE"/>
        </patternFill>
      </fill>
      <alignment horizontal="center" vertical="bottom" textRotation="0" wrapText="1" indent="0" justifyLastLine="0" shrinkToFit="0" readingOrder="1"/>
      <border diagonalUp="0" diagonalDown="0">
        <left/>
        <right style="thin">
          <color indexed="64"/>
        </right>
        <top/>
        <bottom/>
        <vertical/>
        <horizontal/>
      </border>
    </dxf>
    <dxf>
      <font>
        <b val="0"/>
        <i val="0"/>
        <strike val="0"/>
        <condense val="0"/>
        <extend val="0"/>
        <outline val="0"/>
        <shadow val="0"/>
        <u val="none"/>
        <vertAlign val="baseline"/>
        <sz val="10"/>
        <color theme="1"/>
        <name val="Calibri"/>
        <family val="2"/>
        <scheme val="none"/>
      </font>
      <fill>
        <patternFill patternType="solid">
          <fgColor indexed="64"/>
          <bgColor rgb="FFBDD7EE"/>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9"/>
        <color theme="1"/>
        <name val="Calibri"/>
        <family val="2"/>
        <scheme val="minor"/>
      </font>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9"/>
        <color theme="1"/>
        <name val="Calibri"/>
        <family val="2"/>
        <scheme val="minor"/>
      </font>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9"/>
        <color theme="1"/>
        <name val="Calibri"/>
        <family val="2"/>
        <scheme val="minor"/>
      </font>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9"/>
        <color theme="1"/>
        <name val="Calibri"/>
        <family val="2"/>
        <scheme val="minor"/>
      </font>
      <border diagonalUp="0" diagonalDown="0" outline="0">
        <left style="thin">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9"/>
        <color theme="1"/>
        <name val="Calibri"/>
        <family val="2"/>
        <scheme val="minor"/>
      </font>
      <border diagonalUp="0" diagonalDown="0" outline="0">
        <left style="thin">
          <color theme="0" tint="-0.499984740745262"/>
        </left>
        <right style="thin">
          <color theme="0" tint="-0.499984740745262"/>
        </right>
        <top style="thin">
          <color theme="0" tint="-0.499984740745262"/>
        </top>
        <bottom style="thin">
          <color theme="0" tint="-0.499984740745262"/>
        </bottom>
      </border>
    </dxf>
    <dxf>
      <border outline="0">
        <bottom style="thin">
          <color theme="0" tint="-0.499984740745262"/>
        </bottom>
      </border>
    </dxf>
    <dxf>
      <font>
        <b val="0"/>
        <i val="0"/>
        <strike val="0"/>
        <condense val="0"/>
        <extend val="0"/>
        <outline val="0"/>
        <shadow val="0"/>
        <u val="none"/>
        <vertAlign val="baseline"/>
        <sz val="9"/>
        <color theme="1"/>
        <name val="Calibri"/>
        <family val="2"/>
        <scheme val="minor"/>
      </font>
    </dxf>
    <dxf>
      <font>
        <strike val="0"/>
        <outline val="0"/>
        <shadow val="0"/>
        <u val="none"/>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b val="0"/>
        <i val="0"/>
        <strike val="0"/>
        <condense val="0"/>
        <extend val="0"/>
        <outline val="0"/>
        <shadow val="0"/>
        <u val="none"/>
        <vertAlign val="baseline"/>
        <sz val="10"/>
        <color auto="1"/>
        <name val="Calibri"/>
        <family val="2"/>
        <scheme val="minor"/>
      </font>
    </dxf>
    <dxf>
      <font>
        <strike val="0"/>
        <outline val="0"/>
        <shadow val="0"/>
        <u val="none"/>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dxf>
    <dxf>
      <font>
        <strike val="0"/>
        <outline val="0"/>
        <shadow val="0"/>
        <u val="none"/>
        <vertAlign val="baseline"/>
        <sz val="10"/>
        <color theme="1"/>
        <name val="Calibri"/>
        <family val="2"/>
        <scheme val="minor"/>
      </font>
      <numFmt numFmtId="169" formatCode="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169" formatCode="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169" formatCode="0.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169" formatCode="0.000"/>
      <fill>
        <patternFill patternType="none">
          <fgColor indexed="64"/>
          <bgColor auto="1"/>
        </patternFill>
      </fill>
      <border diagonalUp="0" diagonalDown="0" outline="0">
        <left style="thin">
          <color indexed="64"/>
        </left>
        <right/>
        <top style="thin">
          <color indexed="64"/>
        </top>
        <bottom style="thin">
          <color indexed="64"/>
        </bottom>
      </border>
    </dxf>
    <dxf>
      <font>
        <strike val="0"/>
        <outline val="0"/>
        <shadow val="0"/>
        <u val="none"/>
        <vertAlign val="baseline"/>
        <sz val="10"/>
        <color theme="1"/>
        <name val="Calibri"/>
        <family val="2"/>
        <scheme val="minor"/>
      </font>
      <fill>
        <patternFill patternType="none">
          <fgColor indexed="64"/>
          <bgColor auto="1"/>
        </patternFill>
      </fill>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fill>
        <patternFill patternType="none">
          <fgColor indexed="64"/>
          <bgColor auto="1"/>
        </patternFill>
      </fill>
    </dxf>
    <dxf>
      <font>
        <strike val="0"/>
        <outline val="0"/>
        <shadow val="0"/>
        <u val="none"/>
        <vertAlign val="baseline"/>
        <sz val="10"/>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top/>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top/>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top/>
        <bottom/>
      </border>
      <protection locked="1" hidden="1"/>
    </dxf>
    <dxf>
      <font>
        <b/>
        <i val="0"/>
        <strike val="0"/>
        <condense val="0"/>
        <extend val="0"/>
        <outline val="0"/>
        <shadow val="0"/>
        <u val="none"/>
        <vertAlign val="baseline"/>
        <sz val="10"/>
        <color auto="1"/>
        <name val="Calibri"/>
        <family val="2"/>
        <scheme val="minor"/>
      </font>
      <protection locked="1" hidden="1"/>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font>
        <b/>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none"/>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border>
      <protection locked="0" hidden="0"/>
    </dxf>
    <dxf>
      <font>
        <strike val="0"/>
        <outline val="0"/>
        <shadow val="0"/>
        <u val="none"/>
        <sz val="10"/>
        <name val="Calibri"/>
        <family val="2"/>
        <scheme val="minor"/>
      </font>
      <fill>
        <patternFill patternType="solid">
          <fgColor indexed="64"/>
          <bgColor theme="7" tint="0.79998168889431442"/>
        </patternFill>
      </fill>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strike val="0"/>
        <outline val="0"/>
        <shadow val="0"/>
        <u val="none"/>
        <sz val="10"/>
        <name val="Calibri"/>
        <family val="2"/>
        <scheme val="minor"/>
      </font>
      <fill>
        <patternFill patternType="solid">
          <fgColor indexed="64"/>
          <bgColor theme="2"/>
        </patternFill>
      </fill>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1" hidden="1"/>
    </dxf>
    <dxf>
      <border>
        <bottom style="thin">
          <color rgb="FF808080"/>
        </bottom>
      </border>
    </dxf>
    <dxf>
      <border outline="0">
        <left style="thin">
          <color rgb="FF808080"/>
        </left>
      </border>
    </dxf>
    <dxf>
      <font>
        <strike val="0"/>
        <outline val="0"/>
        <shadow val="0"/>
        <u val="none"/>
        <sz val="10"/>
        <name val="Calibri"/>
        <family val="2"/>
        <scheme val="minor"/>
      </font>
      <fill>
        <patternFill patternType="solid">
          <fgColor rgb="FF000000"/>
          <bgColor rgb="FFFFFFFF"/>
        </patternFill>
      </fill>
      <protection locked="1" hidden="1"/>
    </dxf>
    <dxf>
      <font>
        <strike val="0"/>
        <outline val="0"/>
        <shadow val="0"/>
        <u val="none"/>
        <sz val="10"/>
        <color theme="1"/>
        <name val="Calibri"/>
        <family val="2"/>
        <scheme val="minor"/>
      </font>
      <fill>
        <patternFill patternType="solid">
          <fgColor indexed="64"/>
          <bgColor theme="8" tint="0.39997558519241921"/>
        </patternFill>
      </fill>
      <alignment vertical="center" textRotation="0" wrapText="1" indent="0" justifyLastLine="0" shrinkToFit="0" readingOrder="0"/>
      <protection locked="1" hidden="1"/>
    </dxf>
    <dxf>
      <font>
        <color rgb="FFFF0000"/>
      </font>
    </dxf>
    <dxf>
      <font>
        <color rgb="FFFF0000"/>
      </font>
    </dxf>
    <dxf>
      <font>
        <color theme="0" tint="-0.24994659260841701"/>
      </font>
    </dxf>
    <dxf>
      <font>
        <color rgb="FFFF0000"/>
      </font>
    </dxf>
    <dxf>
      <font>
        <color theme="0"/>
      </font>
    </dxf>
    <dxf>
      <font>
        <color theme="0"/>
      </font>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numFmt numFmtId="169" formatCode="0.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numFmt numFmtId="170" formatCode="#,##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4" formatCode="#,##0.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80" formatCode="#,##0.000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80" formatCode="#,##0.0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border outline="0">
        <left style="thin">
          <color rgb="FF808080"/>
        </left>
      </border>
    </dxf>
    <dxf>
      <font>
        <strike val="0"/>
        <outline val="0"/>
        <shadow val="0"/>
        <u val="none"/>
        <sz val="10"/>
        <color theme="1"/>
        <name val="Calibri"/>
        <family val="2"/>
        <scheme val="minor"/>
      </font>
      <fill>
        <patternFill patternType="solid">
          <fgColor indexed="64"/>
          <bgColor theme="8" tint="0.39997558519241921"/>
        </patternFill>
      </fill>
      <protection locked="1" hidden="1"/>
    </dxf>
    <dxf>
      <font>
        <color rgb="FFFF0000"/>
      </font>
    </dxf>
    <dxf>
      <font>
        <color theme="0" tint="-0.24994659260841701"/>
      </font>
    </dxf>
    <dxf>
      <font>
        <color rgb="FFFF0000"/>
      </font>
    </dxf>
    <dxf>
      <font>
        <color rgb="FFFF0000"/>
      </font>
    </dxf>
    <dxf>
      <font>
        <color theme="0"/>
      </font>
    </dxf>
    <dxf>
      <font>
        <color theme="0"/>
      </font>
    </dxf>
    <dxf>
      <font>
        <color theme="0"/>
      </font>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23"/>
        </right>
        <top/>
        <bottom style="thin">
          <color indexed="23"/>
        </bottom>
      </border>
      <protection locked="1" hidden="1"/>
    </dxf>
    <dxf>
      <font>
        <b/>
        <strike val="0"/>
        <outline val="0"/>
        <shadow val="0"/>
        <u val="none"/>
        <sz val="10"/>
        <color indexed="8"/>
        <name val="Calibri"/>
        <family val="2"/>
        <scheme val="minor"/>
      </font>
      <numFmt numFmtId="4" formatCode="#,##0.0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top/>
        <bottom style="thin">
          <color indexed="23"/>
        </bottom>
      </border>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80" formatCode="#,##0.00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1" hidden="1"/>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1" hidden="1"/>
    </dxf>
    <dxf>
      <border>
        <bottom style="thin">
          <color rgb="FF808080"/>
        </bottom>
      </border>
    </dxf>
    <dxf>
      <border outline="0">
        <left style="thin">
          <color rgb="FF808080"/>
        </left>
      </border>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theme="1"/>
        <name val="Calibri"/>
        <family val="2"/>
        <scheme val="minor"/>
      </font>
      <fill>
        <patternFill patternType="solid">
          <fgColor indexed="64"/>
          <bgColor theme="8" tint="0.39997558519241921"/>
        </patternFill>
      </fill>
      <protection locked="1" hidden="1"/>
    </dxf>
    <dxf>
      <font>
        <color rgb="FFFF0000"/>
      </font>
    </dxf>
    <dxf>
      <fill>
        <patternFill patternType="solid"/>
      </fill>
    </dxf>
    <dxf>
      <font>
        <color rgb="FFFF0000"/>
      </font>
    </dxf>
    <dxf>
      <font>
        <color rgb="FFFF0000"/>
      </font>
    </dxf>
    <dxf>
      <font>
        <color theme="0"/>
      </font>
    </dxf>
    <dxf>
      <font>
        <color theme="0"/>
      </font>
    </dxf>
    <dxf>
      <fill>
        <patternFill patternType="solid"/>
      </fill>
    </dxf>
    <dxf>
      <fill>
        <patternFill patternType="solid"/>
      </fill>
    </dxf>
    <dxf>
      <font>
        <color theme="0"/>
      </font>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0"/>
        <color auto="1"/>
        <name val="Arial"/>
        <family val="2"/>
        <scheme val="none"/>
      </font>
      <numFmt numFmtId="0" formatCode="General"/>
      <border diagonalUp="0" diagonalDown="0">
        <left style="thin">
          <color indexed="64"/>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Arial"/>
        <family val="2"/>
        <scheme val="none"/>
      </font>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protection locked="1" hidden="1"/>
    </dxf>
    <dxf>
      <font>
        <b/>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indexed="64"/>
        </left>
        <bottom style="thin">
          <color indexed="64"/>
        </bottom>
      </border>
    </dxf>
    <dxf>
      <font>
        <b val="0"/>
        <i val="0"/>
        <strike val="0"/>
        <condense val="0"/>
        <extend val="0"/>
        <outline val="0"/>
        <shadow val="0"/>
        <u val="none"/>
        <vertAlign val="baseline"/>
        <sz val="11"/>
        <color theme="1"/>
        <name val="Calibri"/>
        <family val="3"/>
        <charset val="134"/>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name val="Calibri"/>
        <family val="2"/>
        <scheme val="minor"/>
      </font>
      <alignment horizontal="center" vertical="bottom" textRotation="0" wrapText="0" indent="0" justifyLastLine="0" shrinkToFit="0" readingOrder="0"/>
      <border diagonalUp="0" diagonalDown="0" outline="0">
        <left style="thin">
          <color auto="1"/>
        </left>
        <right/>
        <top style="thin">
          <color auto="1"/>
        </top>
        <bottom style="thin">
          <color auto="1"/>
        </bottom>
      </border>
    </dxf>
    <dxf>
      <font>
        <strike val="0"/>
        <outline val="0"/>
        <shadow val="0"/>
        <u val="none"/>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name val="Calibri"/>
        <family val="2"/>
        <scheme val="minor"/>
      </font>
      <border diagonalUp="0" diagonalDown="0" outline="0">
        <left/>
        <right style="thin">
          <color auto="1"/>
        </right>
        <top style="thin">
          <color auto="1"/>
        </top>
        <bottom style="thin">
          <color auto="1"/>
        </bottom>
      </border>
    </dxf>
    <dxf>
      <border outline="0">
        <top style="thin">
          <color indexed="64"/>
        </top>
      </border>
    </dxf>
    <dxf>
      <border outline="0">
        <bottom style="thin">
          <color indexed="64"/>
        </bottom>
      </border>
    </dxf>
    <dxf>
      <border outline="0">
        <left style="thin">
          <color indexed="64"/>
        </left>
        <right style="thin">
          <color indexed="64"/>
        </right>
        <top style="thin">
          <color auto="1"/>
        </top>
        <bottom style="thin">
          <color auto="1"/>
        </bottom>
      </border>
    </dxf>
    <dxf>
      <font>
        <strike val="0"/>
        <outline val="0"/>
        <shadow val="0"/>
        <u val="none"/>
        <name val="Calibri"/>
        <family val="2"/>
        <scheme val="minor"/>
      </font>
      <alignment horizontal="center" vertical="bottom" textRotation="0" wrapText="0" indent="0" justifyLastLine="0" shrinkToFit="0" readingOrder="0"/>
    </dxf>
    <dxf>
      <font>
        <strike val="0"/>
        <outline val="0"/>
        <shadow val="0"/>
        <u val="none"/>
        <name val="Calibri"/>
        <family val="2"/>
        <scheme val="minor"/>
      </font>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style="thin">
          <color indexed="64"/>
        </top>
        <bottom style="thin">
          <color indexed="64"/>
        </bottom>
      </border>
      <protection locked="1" hidden="1"/>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numFmt numFmtId="173" formatCode="0.000000"/>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175" formatCode="0.00000"/>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style="thin">
          <color indexed="64"/>
        </top>
        <bottom style="thin">
          <color indexed="64"/>
        </bottom>
      </border>
      <protection locked="1" hidden="1"/>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border diagonalUp="0" diagonalDown="0" outline="0">
        <left style="thin">
          <color indexed="64"/>
        </left>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style="thin">
          <color indexed="64"/>
        </top>
        <bottom style="thin">
          <color indexed="64"/>
        </bottom>
      </border>
      <protection locked="1" hidden="1"/>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protection locked="1" hidden="1"/>
    </dxf>
    <dxf>
      <font>
        <b/>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style="thin">
          <color indexed="64"/>
        </top>
        <bottom style="thin">
          <color indexed="64"/>
        </bottom>
      </border>
      <protection locked="1" hidden="1"/>
    </dxf>
    <dxf>
      <border outline="0">
        <left style="thin">
          <color indexed="64"/>
        </left>
        <top style="thin">
          <color indexed="64"/>
        </top>
        <bottom style="thin">
          <color indexed="64"/>
        </bottom>
      </border>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theme="1"/>
        <name val="Calibri"/>
        <family val="2"/>
        <scheme val="minor"/>
      </font>
      <numFmt numFmtId="0" formatCode="Genera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0" formatCode="General"/>
      <fill>
        <patternFill patternType="solid">
          <fgColor theme="4"/>
          <bgColor theme="4"/>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0"/>
        <color auto="1"/>
        <name val="Calibri"/>
        <family val="2"/>
        <scheme val="minor"/>
      </font>
      <border diagonalUp="0" diagonalDown="0" outline="0">
        <left/>
        <right style="thin">
          <color indexed="64"/>
        </right>
        <top style="thin">
          <color indexed="64"/>
        </top>
        <bottom style="thin">
          <color indexed="64"/>
        </bottom>
      </border>
      <protection locked="1" hidden="1"/>
    </dxf>
    <dxf>
      <border outline="0">
        <left style="thin">
          <color indexed="64"/>
        </left>
        <top style="thin">
          <color indexed="64"/>
        </top>
        <bottom style="thin">
          <color indexed="64"/>
        </bottom>
      </border>
    </dxf>
    <dxf>
      <font>
        <b val="0"/>
        <i val="0"/>
        <strike val="0"/>
        <condense val="0"/>
        <extend val="0"/>
        <outline val="0"/>
        <shadow val="0"/>
        <u val="none"/>
        <vertAlign val="baseline"/>
        <sz val="10"/>
        <color auto="1"/>
        <name val="Calibri"/>
        <family val="2"/>
        <scheme val="minor"/>
      </font>
      <protection locked="1" hidden="1"/>
    </dxf>
    <dxf>
      <font>
        <b val="0"/>
        <i val="0"/>
        <strike val="0"/>
        <condense val="0"/>
        <extend val="0"/>
        <outline val="0"/>
        <shadow val="0"/>
        <u val="none"/>
        <vertAlign val="baseline"/>
        <sz val="11"/>
        <color theme="1"/>
        <name val="Calibri"/>
        <family val="2"/>
        <scheme val="minor"/>
      </font>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strike val="0"/>
        <outline val="0"/>
        <shadow val="0"/>
        <u val="none"/>
        <sz val="10"/>
        <name val="Calibri"/>
        <family val="2"/>
        <scheme val="minor"/>
      </font>
      <fill>
        <patternFill patternType="solid">
          <fgColor indexed="64"/>
          <bgColor theme="7" tint="0.79998168889431442"/>
        </patternFill>
      </fill>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style="thin">
          <color rgb="FF808080"/>
        </vertical>
        <horizontal style="thin">
          <color rgb="FF808080"/>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right style="thin">
          <color rgb="FF808080"/>
        </right>
        <top style="thin">
          <color rgb="FF808080"/>
        </top>
        <bottom style="thin">
          <color rgb="FF808080"/>
        </bottom>
      </border>
      <protection locked="0" hidden="0"/>
    </dxf>
    <dxf>
      <font>
        <b/>
        <strike val="0"/>
        <outline val="0"/>
        <shadow val="0"/>
        <u val="none"/>
        <sz val="10"/>
        <name val="Calibri"/>
        <family val="2"/>
        <scheme val="minor"/>
      </font>
      <fill>
        <patternFill patternType="solid">
          <fgColor indexed="64"/>
          <bgColor theme="2"/>
        </patternFill>
      </fill>
      <border diagonalUp="0" diagonalDown="0" outline="0">
        <left/>
        <right style="thin">
          <color rgb="FF808080"/>
        </right>
        <top style="thin">
          <color rgb="FF808080"/>
        </top>
        <bottom style="thin">
          <color rgb="FF808080"/>
        </bottom>
      </border>
      <protection locked="1" hidden="1"/>
    </dxf>
    <dxf>
      <font>
        <b/>
        <strike val="0"/>
        <outline val="0"/>
        <shadow val="0"/>
        <u val="none"/>
        <sz val="10"/>
        <name val="Calibri"/>
        <family val="2"/>
        <scheme val="minor"/>
      </font>
      <fill>
        <patternFill patternType="solid">
          <fgColor indexed="64"/>
          <bgColor theme="2"/>
        </patternFill>
      </fill>
      <border diagonalUp="0" diagonalDown="0" outline="0">
        <left style="thin">
          <color rgb="FF808080"/>
        </left>
        <right/>
        <top style="thin">
          <color rgb="FF808080"/>
        </top>
        <bottom style="thin">
          <color rgb="FF808080"/>
        </bottom>
      </border>
      <protection locked="1" hidden="1"/>
    </dxf>
    <dxf>
      <border>
        <bottom style="thin">
          <color rgb="FF808080"/>
        </bottom>
      </border>
    </dxf>
    <dxf>
      <border outline="0">
        <left style="thin">
          <color indexed="23"/>
        </left>
      </border>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color theme="1"/>
        <name val="Calibri"/>
        <family val="2"/>
        <scheme val="minor"/>
      </font>
      <fill>
        <patternFill patternType="solid">
          <fgColor indexed="64"/>
          <bgColor theme="8" tint="0.39997558519241921"/>
        </patternFill>
      </fill>
      <protection locked="1" hidden="1"/>
    </dxf>
    <dxf>
      <font>
        <b val="0"/>
        <i val="0"/>
        <strike val="0"/>
        <condense val="0"/>
        <extend val="0"/>
        <outline val="0"/>
        <shadow val="0"/>
        <u val="none"/>
        <vertAlign val="baseline"/>
        <sz val="10"/>
        <color indexed="8"/>
        <name val="Calibri"/>
        <family val="2"/>
        <scheme val="none"/>
      </font>
      <numFmt numFmtId="0" formatCode="General"/>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0" formatCode="General"/>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0" formatCode="General"/>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0" formatCode="General"/>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0" formatCode="General"/>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0" formatCode="General"/>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170" formatCode="#,##0.0"/>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none"/>
      </font>
      <numFmt numFmtId="170" formatCode="#,##0.0"/>
      <fill>
        <patternFill patternType="solid">
          <fgColor rgb="FF000000"/>
          <bgColor rgb="FFFFFFFF"/>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numFmt numFmtId="0" formatCode="General"/>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0" formatCode="General"/>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0" formatCode="General"/>
      <fill>
        <patternFill patternType="solid">
          <fgColor indexed="64"/>
          <bgColor theme="0"/>
        </patternFill>
      </fill>
      <protection locked="1" hidden="1"/>
    </dxf>
    <dxf>
      <font>
        <strike val="0"/>
        <outline val="0"/>
        <shadow val="0"/>
        <u val="no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none"/>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4" formatCode="#,##0.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font>
        <b/>
        <strike val="0"/>
        <outline val="0"/>
        <shadow val="0"/>
        <u val="none"/>
        <sz val="10"/>
        <name val="Calibri"/>
        <family val="2"/>
        <scheme val="minor"/>
      </font>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border>
        <bottom style="thin">
          <color rgb="FF808080"/>
        </bottom>
      </border>
    </dxf>
    <dxf>
      <border outline="0">
        <left style="thin">
          <color rgb="FF808080"/>
        </left>
      </border>
    </dxf>
    <dxf>
      <font>
        <b val="0"/>
        <i val="0"/>
        <strike val="0"/>
        <condense val="0"/>
        <extend val="0"/>
        <outline val="0"/>
        <shadow val="0"/>
        <u val="none"/>
        <vertAlign val="baseline"/>
        <sz val="10"/>
        <color indexed="8"/>
        <name val="Calibri"/>
        <family val="2"/>
        <scheme val="none"/>
      </font>
      <fill>
        <patternFill patternType="solid">
          <fgColor rgb="FF000000"/>
          <bgColor rgb="FFFFFFFF"/>
        </patternFill>
      </fill>
      <alignment horizontal="right" vertical="bottom" textRotation="0" wrapText="0" indent="0" justifyLastLine="0" shrinkToFit="0" readingOrder="0"/>
      <protection locked="1" hidden="1"/>
    </dxf>
    <dxf>
      <font>
        <strike val="0"/>
        <outline val="0"/>
        <shadow val="0"/>
        <u val="none"/>
        <sz val="10"/>
        <color theme="1"/>
        <name val="Calibri"/>
        <family val="2"/>
        <scheme val="minor"/>
      </font>
      <fill>
        <patternFill patternType="solid">
          <fgColor indexed="64"/>
          <bgColor theme="8" tint="0.39997558519241921"/>
        </patternFill>
      </fill>
      <alignment vertical="center" textRotation="0" wrapText="1" indent="0" justifyLastLine="0" shrinkToFit="0" readingOrder="0"/>
      <protection locked="1" hidden="1"/>
    </dxf>
    <dxf>
      <font>
        <color theme="0"/>
      </font>
    </dxf>
    <dxf>
      <font>
        <color theme="0"/>
      </font>
    </dxf>
    <dxf>
      <font>
        <b/>
        <i val="0"/>
        <condense val="0"/>
        <extend val="0"/>
        <color indexed="10"/>
      </font>
    </dxf>
    <dxf>
      <font>
        <b val="0"/>
        <i val="0"/>
        <condense val="0"/>
        <extend val="0"/>
        <color indexed="8"/>
      </font>
    </dxf>
    <dxf>
      <fill>
        <patternFill patternType="solid"/>
      </fill>
    </dxf>
    <dxf>
      <font>
        <color rgb="FFFF0000"/>
      </font>
    </dxf>
    <dxf>
      <font>
        <color rgb="FFFF0000"/>
      </font>
    </dxf>
    <dxf>
      <font>
        <strike val="0"/>
        <color theme="0"/>
      </font>
    </dxf>
    <dxf>
      <font>
        <b val="0"/>
        <i val="0"/>
        <condense val="0"/>
        <extend val="0"/>
        <color indexed="8"/>
      </font>
    </dxf>
    <dxf>
      <fill>
        <patternFill patternType="solid"/>
      </fill>
    </dxf>
    <dxf>
      <fill>
        <patternFill patternType="solid"/>
      </fill>
    </dxf>
    <dxf>
      <font>
        <strike val="0"/>
        <color theme="0"/>
      </font>
    </dxf>
    <dxf>
      <font>
        <b val="0"/>
        <i val="0"/>
        <condense val="0"/>
        <extend val="0"/>
        <color indexed="8"/>
      </font>
    </dxf>
    <dxf>
      <font>
        <color rgb="FFFF0000"/>
      </font>
    </dxf>
    <dxf>
      <font>
        <color theme="0" tint="-0.24994659260841701"/>
      </font>
    </dxf>
    <dxf>
      <fill>
        <patternFill patternType="solid"/>
      </fill>
    </dxf>
    <dxf>
      <font>
        <color rgb="FFFF0000"/>
      </font>
    </dxf>
    <dxf>
      <font>
        <color rgb="FFFF0000"/>
      </font>
    </dxf>
    <dxf>
      <font>
        <color theme="0"/>
      </font>
    </dxf>
    <dxf>
      <font>
        <color theme="0"/>
      </font>
    </dxf>
    <dxf>
      <fill>
        <patternFill patternType="solid"/>
      </fill>
    </dxf>
    <dxf>
      <fill>
        <patternFill patternType="solid"/>
      </fill>
    </dxf>
    <dxf>
      <font>
        <color theme="0"/>
      </font>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strike val="0"/>
        <outline val="0"/>
        <shadow val="0"/>
        <u val="none"/>
        <sz val="10"/>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172" formatCode="#,##0.000"/>
      <fill>
        <patternFill patternType="solid">
          <fgColor indexed="64"/>
          <bgColor theme="0"/>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69" formatCode="0.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84" formatCode="#,##0.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1" hidden="1"/>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1" hidden="1"/>
    </dxf>
    <dxf>
      <border>
        <bottom style="thin">
          <color rgb="FF808080"/>
        </bottom>
      </border>
    </dxf>
    <dxf>
      <border outline="0">
        <left style="thin">
          <color rgb="FF808080"/>
        </left>
      </border>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theme="1"/>
        <name val="Calibri"/>
        <family val="2"/>
        <scheme val="minor"/>
      </font>
      <fill>
        <patternFill patternType="solid">
          <fgColor indexed="64"/>
          <bgColor theme="8" tint="0.39997558519241921"/>
        </patternFill>
      </fill>
      <protection locked="1" hidden="1"/>
    </dxf>
    <dxf>
      <font>
        <color rgb="FFFF0000"/>
      </font>
    </dxf>
    <dxf>
      <font>
        <color theme="0" tint="-0.24994659260841701"/>
      </font>
    </dxf>
    <dxf>
      <fill>
        <patternFill patternType="solid"/>
      </fill>
    </dxf>
    <dxf>
      <font>
        <color rgb="FFFF0000"/>
      </font>
    </dxf>
    <dxf>
      <font>
        <color rgb="FFFF0000"/>
      </font>
    </dxf>
    <dxf>
      <font>
        <color theme="0"/>
      </font>
    </dxf>
    <dxf>
      <font>
        <color theme="0"/>
      </font>
    </dxf>
    <dxf>
      <fill>
        <patternFill patternType="solid"/>
      </fill>
    </dxf>
    <dxf>
      <fill>
        <patternFill patternType="solid"/>
      </fill>
    </dxf>
    <dxf>
      <font>
        <color theme="0"/>
      </font>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auto="1"/>
        <name val="Calibri"/>
        <family val="2"/>
        <scheme val="minor"/>
      </font>
      <numFmt numFmtId="4" formatCode="#,##0.00"/>
      <fill>
        <patternFill patternType="solid">
          <fgColor indexed="64"/>
          <bgColor theme="0"/>
        </patternFill>
      </fill>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strike val="0"/>
        <outline val="0"/>
        <shadow val="0"/>
        <u val="none"/>
        <sz val="10"/>
        <color indexed="8"/>
        <name val="Calibri"/>
        <family val="2"/>
        <scheme val="minor"/>
      </font>
      <numFmt numFmtId="172" formatCode="#,##0.000"/>
      <fill>
        <patternFill patternType="solid">
          <fgColor indexed="64"/>
          <bgColor theme="0"/>
        </patternFill>
      </fill>
      <alignment horizontal="right" vertical="bottom" textRotation="0" wrapText="0" indent="0" justifyLastLine="0" shrinkToFit="0" readingOrder="0"/>
      <border diagonalUp="0" diagonalDown="0" outline="0">
        <left style="thin">
          <color indexed="23"/>
        </left>
        <right style="thin">
          <color indexed="23"/>
        </right>
        <top/>
        <bottom style="thin">
          <color indexed="23"/>
        </bottom>
      </border>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0" formatCode="#,##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indexed="23"/>
        </left>
        <right style="thin">
          <color indexed="23"/>
        </right>
        <top/>
        <bottom style="thin">
          <color indexed="23"/>
        </bottom>
      </border>
      <protection locked="0" hidden="0"/>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0" hidden="0"/>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outline="0">
        <left style="thin">
          <color rgb="FF808080"/>
        </left>
        <right style="thin">
          <color rgb="FF808080"/>
        </right>
        <top style="thin">
          <color rgb="FF808080"/>
        </top>
        <bottom style="thin">
          <color rgb="FF808080"/>
        </bottom>
      </border>
      <protection locked="1" hidden="1"/>
    </dxf>
    <dxf>
      <border outline="0">
        <left style="thin">
          <color rgb="FF808080"/>
        </left>
      </border>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theme="1"/>
        <name val="Calibri"/>
        <family val="2"/>
        <scheme val="minor"/>
      </font>
      <fill>
        <patternFill patternType="solid">
          <fgColor indexed="64"/>
          <bgColor theme="8" tint="0.39997558519241921"/>
        </patternFill>
      </fill>
      <protection locked="1" hidden="1"/>
    </dxf>
    <dxf>
      <font>
        <color rgb="FFFF0000"/>
      </font>
    </dxf>
    <dxf>
      <font>
        <color rgb="FFFF0000"/>
      </font>
    </dxf>
    <dxf>
      <font>
        <color theme="0" tint="-0.24994659260841701"/>
      </font>
    </dxf>
    <dxf>
      <font>
        <color rgb="FFFF0000"/>
      </font>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numFmt numFmtId="169" formatCode="0.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strike val="0"/>
        <outline val="0"/>
        <shadow val="0"/>
        <u val="none"/>
        <sz val="10"/>
        <name val="Calibri"/>
        <family val="2"/>
        <scheme val="minor"/>
      </font>
      <numFmt numFmtId="170" formatCode="#,##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0" formatCode="#,##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172" formatCode="#,##0.00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66" formatCode="0.0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border outline="0">
        <left style="thin">
          <color rgb="FF808080"/>
        </left>
      </border>
    </dxf>
    <dxf>
      <font>
        <strike val="0"/>
        <outline val="0"/>
        <shadow val="0"/>
        <u val="none"/>
        <sz val="10"/>
        <color theme="1"/>
        <name val="Calibri"/>
        <family val="2"/>
        <scheme val="minor"/>
      </font>
      <fill>
        <patternFill patternType="solid">
          <fgColor indexed="64"/>
          <bgColor theme="8" tint="0.39997558519241921"/>
        </patternFill>
      </fill>
      <protection locked="1" hidden="1"/>
    </dxf>
    <dxf>
      <font>
        <color rgb="FFFF0000"/>
      </font>
    </dxf>
    <dxf>
      <font>
        <color theme="0" tint="-0.24994659260841701"/>
      </font>
    </dxf>
    <dxf>
      <font>
        <color theme="0" tint="-0.24994659260841701"/>
      </font>
    </dxf>
    <dxf>
      <font>
        <color theme="0" tint="-0.24994659260841701"/>
      </font>
    </dxf>
    <dxf>
      <font>
        <color theme="0" tint="-0.24994659260841701"/>
      </font>
    </dxf>
    <dxf>
      <fill>
        <patternFill patternType="solid"/>
      </fill>
    </dxf>
    <dxf>
      <font>
        <color rgb="FFFF0000"/>
      </font>
    </dxf>
    <dxf>
      <font>
        <color theme="0"/>
      </font>
    </dxf>
    <dxf>
      <font>
        <color theme="0"/>
      </font>
    </dxf>
    <dxf>
      <fill>
        <patternFill patternType="solid"/>
      </fill>
    </dxf>
    <dxf>
      <fill>
        <patternFill patternType="solid"/>
      </fill>
    </dxf>
    <dxf>
      <font>
        <color theme="0"/>
      </font>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172" formatCode="#,##0.00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strike val="0"/>
        <outline val="0"/>
        <shadow val="0"/>
        <u val="none"/>
        <sz val="10"/>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name val="Calibri"/>
        <family val="2"/>
        <scheme val="minor"/>
      </font>
      <fill>
        <patternFill patternType="solid">
          <fgColor indexed="64"/>
          <bgColor theme="0"/>
        </patternFill>
      </fill>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3" formatCode="#,##0"/>
      <fill>
        <patternFill patternType="solid">
          <fgColor indexed="64"/>
          <bgColor theme="0"/>
        </patternFill>
      </fill>
      <protection locked="1" hidden="1"/>
    </dxf>
    <dxf>
      <font>
        <b val="0"/>
        <i val="0"/>
        <strike val="0"/>
        <condense val="0"/>
        <extend val="0"/>
        <outline val="0"/>
        <shadow val="0"/>
        <u val="none"/>
        <vertAlign val="baseline"/>
        <sz val="10"/>
        <color auto="1"/>
        <name val="Calibri"/>
        <family val="2"/>
        <scheme val="minor"/>
      </font>
      <numFmt numFmtId="0" formatCode="General"/>
      <fill>
        <patternFill patternType="solid">
          <fgColor indexed="64"/>
          <bgColor theme="0"/>
        </patternFill>
      </fill>
      <protection locked="1" hidden="1"/>
    </dxf>
    <dxf>
      <font>
        <strike val="0"/>
        <outline val="0"/>
        <shadow val="0"/>
        <u val="none"/>
        <sz val="10"/>
        <color indexed="8"/>
        <name val="Calibri"/>
        <family val="2"/>
        <scheme val="minor"/>
      </font>
      <numFmt numFmtId="0" formatCode="General"/>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173" formatCode="0.000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numFmt numFmtId="173" formatCode="0.000000"/>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2" formatCode="0.0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numFmt numFmtId="3" formatCode="#,##0"/>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indexed="23"/>
        </left>
        <right style="thin">
          <color indexed="23"/>
        </right>
        <top/>
        <bottom style="thin">
          <color indexed="23"/>
        </bottom>
        <vertical/>
        <horizontal/>
      </border>
      <protection locked="0" hidden="0"/>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3" formatCode="#,##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strike val="0"/>
        <outline val="0"/>
        <shadow val="0"/>
        <u val="none"/>
        <sz val="10"/>
        <name val="Calibri"/>
        <family val="2"/>
        <scheme val="minor"/>
      </font>
      <numFmt numFmtId="172" formatCode="#,##0.000"/>
      <fill>
        <patternFill patternType="solid">
          <fgColor indexed="64"/>
          <bgColor theme="7" tint="0.79998168889431442"/>
        </patternFill>
      </fill>
      <alignment horizontal="general" vertical="center" textRotation="0" wrapText="0" indent="0" justifyLastLine="0" shrinkToFit="0" readingOrder="0"/>
      <protection locked="1" hidden="1"/>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3" formatCode="#,##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170" formatCode="#,##0.0"/>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i val="0"/>
        <strike val="0"/>
        <condense val="0"/>
        <extend val="0"/>
        <outline val="0"/>
        <shadow val="0"/>
        <u val="none"/>
        <vertAlign val="baseline"/>
        <sz val="10"/>
        <color auto="1"/>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0" hidden="0"/>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font>
        <b/>
        <strike val="0"/>
        <outline val="0"/>
        <shadow val="0"/>
        <u val="none"/>
        <sz val="10"/>
        <name val="Calibri"/>
        <family val="2"/>
        <scheme val="minor"/>
      </font>
      <numFmt numFmtId="0" formatCode="General"/>
      <fill>
        <patternFill patternType="solid">
          <fgColor indexed="64"/>
          <bgColor theme="2"/>
        </patternFill>
      </fill>
      <alignment horizontal="general" vertical="center" textRotation="0" wrapText="0" indent="0" justifyLastLine="0" shrinkToFit="0" readingOrder="0"/>
      <border diagonalUp="0" diagonalDown="0">
        <left style="thin">
          <color rgb="FF808080"/>
        </left>
        <right style="thin">
          <color rgb="FF808080"/>
        </right>
        <top style="thin">
          <color rgb="FF808080"/>
        </top>
        <bottom style="thin">
          <color rgb="FF808080"/>
        </bottom>
        <vertical/>
        <horizontal/>
      </border>
      <protection locked="1" hidden="1"/>
    </dxf>
    <dxf>
      <border>
        <bottom style="thin">
          <color rgb="FF808080"/>
        </bottom>
      </border>
    </dxf>
    <dxf>
      <border outline="0">
        <left style="thin">
          <color rgb="FF808080"/>
        </left>
      </border>
    </dxf>
    <dxf>
      <font>
        <b val="0"/>
        <i val="0"/>
        <strike val="0"/>
        <condense val="0"/>
        <extend val="0"/>
        <outline val="0"/>
        <shadow val="0"/>
        <u val="none"/>
        <vertAlign val="baseline"/>
        <sz val="10"/>
        <color indexed="8"/>
        <name val="Calibri"/>
        <family val="2"/>
        <scheme val="minor"/>
      </font>
      <fill>
        <patternFill patternType="solid">
          <fgColor indexed="64"/>
          <bgColor theme="0"/>
        </patternFill>
      </fill>
      <alignment horizontal="right" vertical="bottom" textRotation="0" wrapText="0" indent="0" justifyLastLine="0" shrinkToFit="0" readingOrder="0"/>
      <protection locked="1" hidden="1"/>
    </dxf>
    <dxf>
      <font>
        <strike val="0"/>
        <outline val="0"/>
        <shadow val="0"/>
        <u val="none"/>
        <sz val="10"/>
        <color theme="1"/>
        <name val="Calibri"/>
        <family val="2"/>
        <scheme val="minor"/>
      </font>
      <fill>
        <patternFill patternType="solid">
          <fgColor indexed="64"/>
          <bgColor theme="8" tint="0.39997558519241921"/>
        </patternFill>
      </fill>
      <alignment vertical="center" textRotation="0" wrapText="1" indent="0" justifyLastLine="0" shrinkToFit="0" readingOrder="0"/>
      <protection locked="1" hidden="1"/>
    </dxf>
    <dxf>
      <font>
        <color rgb="FFFF0000"/>
      </font>
    </dxf>
    <dxf>
      <font>
        <color theme="0" tint="-0.24994659260841701"/>
      </font>
    </dxf>
    <dxf>
      <font>
        <color rgb="FFFF0000"/>
      </font>
    </dxf>
    <dxf>
      <font>
        <color rgb="FFFF0000"/>
      </font>
    </dxf>
  </dxfs>
  <tableStyles count="0" defaultTableStyle="TableStyleMedium2" defaultPivotStyle="PivotStyleLight16"/>
  <colors>
    <mruColors>
      <color rgb="FF808080"/>
      <color rgb="FFFF6600"/>
      <color rgb="FF00CCFF"/>
      <color rgb="FF8AD1F3"/>
      <color rgb="FFF8CBAD"/>
      <color rgb="FF00799A"/>
      <color rgb="FFC0C0C0"/>
      <color rgb="FF9999FF"/>
      <color rgb="FF006C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jpeg"/><Relationship Id="rId5" Type="http://schemas.openxmlformats.org/officeDocument/2006/relationships/image" Target="../media/image11.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openxmlformats.org/officeDocument/2006/relationships/image" Target="../media/image12.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1.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openxmlformats.org/officeDocument/2006/relationships/image" Target="../media/image12.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openxmlformats.org/officeDocument/2006/relationships/image" Target="../media/image12.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7.png"/><Relationship Id="rId7" Type="http://schemas.openxmlformats.org/officeDocument/2006/relationships/image" Target="../media/image12.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1</xdr:col>
      <xdr:colOff>8934</xdr:colOff>
      <xdr:row>5</xdr:row>
      <xdr:rowOff>96553</xdr:rowOff>
    </xdr:from>
    <xdr:to>
      <xdr:col>6</xdr:col>
      <xdr:colOff>1403552</xdr:colOff>
      <xdr:row>5</xdr:row>
      <xdr:rowOff>96553</xdr:rowOff>
    </xdr:to>
    <xdr:cxnSp macro="">
      <xdr:nvCxnSpPr>
        <xdr:cNvPr id="2" name="Straight Connector 1">
          <a:extLst>
            <a:ext uri="{FF2B5EF4-FFF2-40B4-BE49-F238E27FC236}">
              <a16:creationId xmlns:a16="http://schemas.microsoft.com/office/drawing/2014/main" id="{65434E62-32EA-4E96-8EE7-9B2D4DCD47A5}"/>
            </a:ext>
          </a:extLst>
        </xdr:cNvPr>
        <xdr:cNvCxnSpPr/>
      </xdr:nvCxnSpPr>
      <xdr:spPr>
        <a:xfrm>
          <a:off x="324317" y="999311"/>
          <a:ext cx="7265193"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191427</xdr:colOff>
      <xdr:row>2</xdr:row>
      <xdr:rowOff>584850</xdr:rowOff>
    </xdr:from>
    <xdr:to>
      <xdr:col>4</xdr:col>
      <xdr:colOff>72977</xdr:colOff>
      <xdr:row>2</xdr:row>
      <xdr:rowOff>584850</xdr:rowOff>
    </xdr:to>
    <xdr:cxnSp macro="">
      <xdr:nvCxnSpPr>
        <xdr:cNvPr id="3" name="Straight Connector 2">
          <a:extLst>
            <a:ext uri="{FF2B5EF4-FFF2-40B4-BE49-F238E27FC236}">
              <a16:creationId xmlns:a16="http://schemas.microsoft.com/office/drawing/2014/main" id="{CF118947-3834-41EE-B12B-D7916A668C56}"/>
            </a:ext>
          </a:extLst>
        </xdr:cNvPr>
        <xdr:cNvCxnSpPr/>
      </xdr:nvCxnSpPr>
      <xdr:spPr>
        <a:xfrm>
          <a:off x="505752" y="543575"/>
          <a:ext cx="2514683" cy="0"/>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104486</xdr:colOff>
      <xdr:row>3</xdr:row>
      <xdr:rowOff>858796</xdr:rowOff>
    </xdr:from>
    <xdr:to>
      <xdr:col>5</xdr:col>
      <xdr:colOff>1183225</xdr:colOff>
      <xdr:row>3</xdr:row>
      <xdr:rowOff>858796</xdr:rowOff>
    </xdr:to>
    <xdr:cxnSp macro="">
      <xdr:nvCxnSpPr>
        <xdr:cNvPr id="4" name="Straight Connector 3">
          <a:extLst>
            <a:ext uri="{FF2B5EF4-FFF2-40B4-BE49-F238E27FC236}">
              <a16:creationId xmlns:a16="http://schemas.microsoft.com/office/drawing/2014/main" id="{97EFC97E-3E44-4346-B067-40A175F1BBB7}"/>
            </a:ext>
          </a:extLst>
        </xdr:cNvPr>
        <xdr:cNvCxnSpPr/>
      </xdr:nvCxnSpPr>
      <xdr:spPr>
        <a:xfrm>
          <a:off x="417753" y="723329"/>
          <a:ext cx="5123689" cy="0"/>
        </a:xfrm>
        <a:prstGeom prst="line">
          <a:avLst/>
        </a:prstGeom>
        <a:ln w="31750">
          <a:solidFill>
            <a:schemeClr val="accent3">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814351</xdr:colOff>
      <xdr:row>0</xdr:row>
      <xdr:rowOff>77561</xdr:rowOff>
    </xdr:from>
    <xdr:ext cx="1978548" cy="646641"/>
    <xdr:pic>
      <xdr:nvPicPr>
        <xdr:cNvPr id="5" name="Picture 4">
          <a:extLst>
            <a:ext uri="{FF2B5EF4-FFF2-40B4-BE49-F238E27FC236}">
              <a16:creationId xmlns:a16="http://schemas.microsoft.com/office/drawing/2014/main" id="{BAA63430-4513-4304-91F4-406B06E73B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754401" y="77561"/>
          <a:ext cx="1978548" cy="646641"/>
        </a:xfrm>
        <a:prstGeom prst="rect">
          <a:avLst/>
        </a:prstGeom>
      </xdr:spPr>
    </xdr:pic>
    <xdr:clientData/>
  </xdr:oneCellAnchor>
  <xdr:oneCellAnchor>
    <xdr:from>
      <xdr:col>6</xdr:col>
      <xdr:colOff>655053</xdr:colOff>
      <xdr:row>3</xdr:row>
      <xdr:rowOff>226490</xdr:rowOff>
    </xdr:from>
    <xdr:ext cx="447604" cy="592748"/>
    <xdr:pic>
      <xdr:nvPicPr>
        <xdr:cNvPr id="6" name="Picture 5">
          <a:extLst>
            <a:ext uri="{FF2B5EF4-FFF2-40B4-BE49-F238E27FC236}">
              <a16:creationId xmlns:a16="http://schemas.microsoft.com/office/drawing/2014/main" id="{374CB8D8-E686-40E2-AA09-7E61FB36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837836" y="721790"/>
          <a:ext cx="447604" cy="592748"/>
        </a:xfrm>
        <a:prstGeom prst="rect">
          <a:avLst/>
        </a:prstGeom>
      </xdr:spPr>
    </xdr:pic>
    <xdr:clientData/>
  </xdr:oneCellAnchor>
  <xdr:oneCellAnchor>
    <xdr:from>
      <xdr:col>6</xdr:col>
      <xdr:colOff>1125168</xdr:colOff>
      <xdr:row>3</xdr:row>
      <xdr:rowOff>245011</xdr:rowOff>
    </xdr:from>
    <xdr:ext cx="438414" cy="560807"/>
    <xdr:pic>
      <xdr:nvPicPr>
        <xdr:cNvPr id="7" name="Picture 6">
          <a:extLst>
            <a:ext uri="{FF2B5EF4-FFF2-40B4-BE49-F238E27FC236}">
              <a16:creationId xmlns:a16="http://schemas.microsoft.com/office/drawing/2014/main" id="{E8EDF967-DF26-49E0-B6C3-C872EC1609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7304776" y="723378"/>
          <a:ext cx="438414" cy="5608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200024</xdr:colOff>
      <xdr:row>0</xdr:row>
      <xdr:rowOff>41241</xdr:rowOff>
    </xdr:from>
    <xdr:ext cx="2209800" cy="1561980"/>
    <xdr:pic>
      <xdr:nvPicPr>
        <xdr:cNvPr id="8" name="Picture 7">
          <a:extLst>
            <a:ext uri="{FF2B5EF4-FFF2-40B4-BE49-F238E27FC236}">
              <a16:creationId xmlns:a16="http://schemas.microsoft.com/office/drawing/2014/main" id="{54162BDA-DBFB-476F-91AD-D353ECAD8C6F}"/>
            </a:ext>
          </a:extLst>
        </xdr:cNvPr>
        <xdr:cNvPicPr>
          <a:picLocks noChangeAspect="1"/>
        </xdr:cNvPicPr>
      </xdr:nvPicPr>
      <xdr:blipFill>
        <a:blip xmlns:r="http://schemas.openxmlformats.org/officeDocument/2006/relationships" r:embed="rId4"/>
        <a:stretch>
          <a:fillRect/>
        </a:stretch>
      </xdr:blipFill>
      <xdr:spPr>
        <a:xfrm>
          <a:off x="515407" y="37008"/>
          <a:ext cx="2209800" cy="156198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2" name="Picture 5">
          <a:extLst>
            <a:ext uri="{FF2B5EF4-FFF2-40B4-BE49-F238E27FC236}">
              <a16:creationId xmlns:a16="http://schemas.microsoft.com/office/drawing/2014/main" id="{A377A4C9-E50E-4840-98DC-997D91C452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892" y="160867"/>
          <a:ext cx="1287991" cy="3227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3" name="Straight Connector 2">
          <a:extLst>
            <a:ext uri="{FF2B5EF4-FFF2-40B4-BE49-F238E27FC236}">
              <a16:creationId xmlns:a16="http://schemas.microsoft.com/office/drawing/2014/main" id="{874AC1EA-24ED-47BC-84F2-9C465EFAEF0A}"/>
            </a:ext>
          </a:extLst>
        </xdr:cNvPr>
        <xdr:cNvCxnSpPr/>
      </xdr:nvCxnSpPr>
      <xdr:spPr>
        <a:xfrm flipV="1">
          <a:off x="724958" y="645811"/>
          <a:ext cx="1188220"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4" name="Straight Connector 3">
          <a:extLst>
            <a:ext uri="{FF2B5EF4-FFF2-40B4-BE49-F238E27FC236}">
              <a16:creationId xmlns:a16="http://schemas.microsoft.com/office/drawing/2014/main" id="{02CA2B4B-ABDC-43FB-90C1-5852BE93AD0C}"/>
            </a:ext>
          </a:extLst>
        </xdr:cNvPr>
        <xdr:cNvCxnSpPr/>
      </xdr:nvCxnSpPr>
      <xdr:spPr>
        <a:xfrm flipV="1">
          <a:off x="724958" y="648758"/>
          <a:ext cx="2276683" cy="0"/>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0</xdr:colOff>
      <xdr:row>0</xdr:row>
      <xdr:rowOff>114300</xdr:rowOff>
    </xdr:from>
    <xdr:ext cx="1959772" cy="676469"/>
    <xdr:pic>
      <xdr:nvPicPr>
        <xdr:cNvPr id="5" name="Picture 9">
          <a:extLst>
            <a:ext uri="{FF2B5EF4-FFF2-40B4-BE49-F238E27FC236}">
              <a16:creationId xmlns:a16="http://schemas.microsoft.com/office/drawing/2014/main" id="{6C12E3C4-82E8-4F5D-BBAD-68AD807886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3381375" y="114300"/>
          <a:ext cx="1959772" cy="676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22412</xdr:colOff>
      <xdr:row>5</xdr:row>
      <xdr:rowOff>100853</xdr:rowOff>
    </xdr:from>
    <xdr:to>
      <xdr:col>8</xdr:col>
      <xdr:colOff>559910</xdr:colOff>
      <xdr:row>5</xdr:row>
      <xdr:rowOff>100853</xdr:rowOff>
    </xdr:to>
    <xdr:cxnSp macro="">
      <xdr:nvCxnSpPr>
        <xdr:cNvPr id="6" name="Straight Connector 5">
          <a:extLst>
            <a:ext uri="{FF2B5EF4-FFF2-40B4-BE49-F238E27FC236}">
              <a16:creationId xmlns:a16="http://schemas.microsoft.com/office/drawing/2014/main" id="{9B92C97E-1F2C-42A1-877A-6DDB84B927DF}"/>
            </a:ext>
          </a:extLst>
        </xdr:cNvPr>
        <xdr:cNvCxnSpPr/>
      </xdr:nvCxnSpPr>
      <xdr:spPr>
        <a:xfrm>
          <a:off x="696570" y="913653"/>
          <a:ext cx="5276715"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786191</xdr:colOff>
      <xdr:row>2</xdr:row>
      <xdr:rowOff>737810</xdr:rowOff>
    </xdr:from>
    <xdr:ext cx="503012" cy="710400"/>
    <xdr:pic>
      <xdr:nvPicPr>
        <xdr:cNvPr id="7" name="Picture 6">
          <a:extLst>
            <a:ext uri="{FF2B5EF4-FFF2-40B4-BE49-F238E27FC236}">
              <a16:creationId xmlns:a16="http://schemas.microsoft.com/office/drawing/2014/main" id="{E2608369-40A7-4EAD-AFB6-0C43C82E15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6441" y="486985"/>
          <a:ext cx="503012" cy="71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1256242</xdr:colOff>
      <xdr:row>9</xdr:row>
      <xdr:rowOff>161623</xdr:rowOff>
    </xdr:from>
    <xdr:ext cx="537344" cy="763209"/>
    <xdr:pic>
      <xdr:nvPicPr>
        <xdr:cNvPr id="8" name="Picture 6">
          <a:extLst>
            <a:ext uri="{FF2B5EF4-FFF2-40B4-BE49-F238E27FC236}">
              <a16:creationId xmlns:a16="http://schemas.microsoft.com/office/drawing/2014/main" id="{158E7AFC-7654-4457-8ADD-3B667755AFA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1492" y="1620006"/>
          <a:ext cx="537344" cy="763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36</xdr:row>
      <xdr:rowOff>0</xdr:rowOff>
    </xdr:from>
    <xdr:ext cx="1255425" cy="1225673"/>
    <xdr:pic>
      <xdr:nvPicPr>
        <xdr:cNvPr id="9" name="Picture 5">
          <a:extLst>
            <a:ext uri="{FF2B5EF4-FFF2-40B4-BE49-F238E27FC236}">
              <a16:creationId xmlns:a16="http://schemas.microsoft.com/office/drawing/2014/main" id="{E7030412-9540-475F-8E7A-928D01701AE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6275" y="5829300"/>
          <a:ext cx="1255425" cy="1225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3" name="Picture 5">
          <a:extLst>
            <a:ext uri="{FF2B5EF4-FFF2-40B4-BE49-F238E27FC236}">
              <a16:creationId xmlns:a16="http://schemas.microsoft.com/office/drawing/2014/main" id="{74913EB9-E066-4882-9F93-3010EED54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2" y="218017"/>
          <a:ext cx="2192866" cy="145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4" name="Straight Connector 3">
          <a:extLst>
            <a:ext uri="{FF2B5EF4-FFF2-40B4-BE49-F238E27FC236}">
              <a16:creationId xmlns:a16="http://schemas.microsoft.com/office/drawing/2014/main" id="{AB6BD25B-F505-4261-8797-6C7145F1796B}"/>
            </a:ext>
          </a:extLst>
        </xdr:cNvPr>
        <xdr:cNvCxnSpPr/>
      </xdr:nvCxnSpPr>
      <xdr:spPr>
        <a:xfrm flipV="1">
          <a:off x="286808" y="2503186"/>
          <a:ext cx="1921645"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5" name="Straight Connector 4">
          <a:extLst>
            <a:ext uri="{FF2B5EF4-FFF2-40B4-BE49-F238E27FC236}">
              <a16:creationId xmlns:a16="http://schemas.microsoft.com/office/drawing/2014/main" id="{4248B6CD-B45E-4E60-8AD4-ACD3D81992CA}"/>
            </a:ext>
          </a:extLst>
        </xdr:cNvPr>
        <xdr:cNvCxnSpPr/>
      </xdr:nvCxnSpPr>
      <xdr:spPr>
        <a:xfrm flipV="1">
          <a:off x="286808" y="2258483"/>
          <a:ext cx="2714833" cy="9322"/>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781053</xdr:colOff>
      <xdr:row>0</xdr:row>
      <xdr:rowOff>788599</xdr:rowOff>
    </xdr:to>
    <xdr:pic>
      <xdr:nvPicPr>
        <xdr:cNvPr id="6" name="Picture 9">
          <a:extLst>
            <a:ext uri="{FF2B5EF4-FFF2-40B4-BE49-F238E27FC236}">
              <a16:creationId xmlns:a16="http://schemas.microsoft.com/office/drawing/2014/main" id="{7F83412F-693E-4BCF-9913-7C4C3FC97E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3952875" y="114300"/>
          <a:ext cx="1960033" cy="675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7" name="Straight Connector 6">
          <a:extLst>
            <a:ext uri="{FF2B5EF4-FFF2-40B4-BE49-F238E27FC236}">
              <a16:creationId xmlns:a16="http://schemas.microsoft.com/office/drawing/2014/main" id="{62DFD7FE-F7F8-49CD-8DA1-FD61F4DE8ED8}"/>
            </a:ext>
          </a:extLst>
        </xdr:cNvPr>
        <xdr:cNvCxnSpPr/>
      </xdr:nvCxnSpPr>
      <xdr:spPr>
        <a:xfrm>
          <a:off x="258420" y="3447303"/>
          <a:ext cx="654354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706847</xdr:rowOff>
    </xdr:to>
    <xdr:pic>
      <xdr:nvPicPr>
        <xdr:cNvPr id="8" name="Picture 6">
          <a:extLst>
            <a:ext uri="{FF2B5EF4-FFF2-40B4-BE49-F238E27FC236}">
              <a16:creationId xmlns:a16="http://schemas.microsoft.com/office/drawing/2014/main" id="{2E34D9A7-5229-4566-8015-64B190A9800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42241" y="1744285"/>
          <a:ext cx="505390" cy="71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617262</xdr:colOff>
      <xdr:row>3</xdr:row>
      <xdr:rowOff>683775</xdr:rowOff>
    </xdr:to>
    <xdr:pic>
      <xdr:nvPicPr>
        <xdr:cNvPr id="9" name="Picture 12">
          <a:extLst>
            <a:ext uri="{FF2B5EF4-FFF2-40B4-BE49-F238E27FC236}">
              <a16:creationId xmlns:a16="http://schemas.microsoft.com/office/drawing/2014/main" id="{2DBB45AF-C124-4E4A-A99F-826E43819F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06030" y="1771530"/>
          <a:ext cx="448522"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13</xdr:row>
      <xdr:rowOff>164798</xdr:rowOff>
    </xdr:from>
    <xdr:to>
      <xdr:col>2</xdr:col>
      <xdr:colOff>390818</xdr:colOff>
      <xdr:row>16</xdr:row>
      <xdr:rowOff>210457</xdr:rowOff>
    </xdr:to>
    <xdr:pic>
      <xdr:nvPicPr>
        <xdr:cNvPr id="10" name="Picture 6">
          <a:extLst>
            <a:ext uri="{FF2B5EF4-FFF2-40B4-BE49-F238E27FC236}">
              <a16:creationId xmlns:a16="http://schemas.microsoft.com/office/drawing/2014/main" id="{123470DB-3C96-4CC1-9862-E62ED687221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05404" y="6206369"/>
          <a:ext cx="548791" cy="764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16</xdr:row>
      <xdr:rowOff>114360</xdr:rowOff>
    </xdr:from>
    <xdr:to>
      <xdr:col>2</xdr:col>
      <xdr:colOff>369942</xdr:colOff>
      <xdr:row>19</xdr:row>
      <xdr:rowOff>10762</xdr:rowOff>
    </xdr:to>
    <xdr:pic>
      <xdr:nvPicPr>
        <xdr:cNvPr id="11" name="Picture 12">
          <a:extLst>
            <a:ext uri="{FF2B5EF4-FFF2-40B4-BE49-F238E27FC236}">
              <a16:creationId xmlns:a16="http://schemas.microsoft.com/office/drawing/2014/main" id="{DA2073FC-B4D8-45A5-887E-ECF70B92422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13055" y="6877110"/>
          <a:ext cx="521061" cy="670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1255425</xdr:colOff>
      <xdr:row>40</xdr:row>
      <xdr:rowOff>94580</xdr:rowOff>
    </xdr:to>
    <xdr:pic>
      <xdr:nvPicPr>
        <xdr:cNvPr id="13" name="Picture 5">
          <a:extLst>
            <a:ext uri="{FF2B5EF4-FFF2-40B4-BE49-F238E27FC236}">
              <a16:creationId xmlns:a16="http://schemas.microsoft.com/office/drawing/2014/main" id="{0318F246-2703-42F5-90B5-0BDC6E069C4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1904" y="11036904"/>
          <a:ext cx="1259658" cy="119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xdr:row>
      <xdr:rowOff>0</xdr:rowOff>
    </xdr:from>
    <xdr:to>
      <xdr:col>1</xdr:col>
      <xdr:colOff>1255359</xdr:colOff>
      <xdr:row>60</xdr:row>
      <xdr:rowOff>182602</xdr:rowOff>
    </xdr:to>
    <xdr:pic>
      <xdr:nvPicPr>
        <xdr:cNvPr id="14" name="Picture 8">
          <a:extLst>
            <a:ext uri="{FF2B5EF4-FFF2-40B4-BE49-F238E27FC236}">
              <a16:creationId xmlns:a16="http://schemas.microsoft.com/office/drawing/2014/main" id="{3287BC1E-E64F-4960-9A92-AC4CC88EC8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1904" y="13909524"/>
          <a:ext cx="1255359" cy="10916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16</xdr:row>
      <xdr:rowOff>114360</xdr:rowOff>
    </xdr:from>
    <xdr:to>
      <xdr:col>2</xdr:col>
      <xdr:colOff>373076</xdr:colOff>
      <xdr:row>19</xdr:row>
      <xdr:rowOff>8691</xdr:rowOff>
    </xdr:to>
    <xdr:pic>
      <xdr:nvPicPr>
        <xdr:cNvPr id="15" name="Picture 12">
          <a:extLst>
            <a:ext uri="{FF2B5EF4-FFF2-40B4-BE49-F238E27FC236}">
              <a16:creationId xmlns:a16="http://schemas.microsoft.com/office/drawing/2014/main" id="{2D78C80B-06EA-4AE6-977C-228D5C6A812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699" cy="66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2" name="Picture 5">
          <a:extLst>
            <a:ext uri="{FF2B5EF4-FFF2-40B4-BE49-F238E27FC236}">
              <a16:creationId xmlns:a16="http://schemas.microsoft.com/office/drawing/2014/main" id="{362CB4B7-828C-49B8-BC64-7BF556FBB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2" y="218017"/>
          <a:ext cx="2192866" cy="145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3" name="Straight Connector 2">
          <a:extLst>
            <a:ext uri="{FF2B5EF4-FFF2-40B4-BE49-F238E27FC236}">
              <a16:creationId xmlns:a16="http://schemas.microsoft.com/office/drawing/2014/main" id="{9E0D3CF8-E868-46D2-83C6-930F9E88B83A}"/>
            </a:ext>
          </a:extLst>
        </xdr:cNvPr>
        <xdr:cNvCxnSpPr/>
      </xdr:nvCxnSpPr>
      <xdr:spPr>
        <a:xfrm flipV="1">
          <a:off x="286808" y="2503186"/>
          <a:ext cx="1921645"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4" name="Straight Connector 3">
          <a:extLst>
            <a:ext uri="{FF2B5EF4-FFF2-40B4-BE49-F238E27FC236}">
              <a16:creationId xmlns:a16="http://schemas.microsoft.com/office/drawing/2014/main" id="{5C0BAD37-B54D-40B1-BE81-5C0F415EA52D}"/>
            </a:ext>
          </a:extLst>
        </xdr:cNvPr>
        <xdr:cNvCxnSpPr/>
      </xdr:nvCxnSpPr>
      <xdr:spPr>
        <a:xfrm flipV="1">
          <a:off x="286808" y="2258483"/>
          <a:ext cx="3695908" cy="9322"/>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778936</xdr:colOff>
      <xdr:row>0</xdr:row>
      <xdr:rowOff>789790</xdr:rowOff>
    </xdr:to>
    <xdr:pic>
      <xdr:nvPicPr>
        <xdr:cNvPr id="5" name="Picture 9">
          <a:extLst>
            <a:ext uri="{FF2B5EF4-FFF2-40B4-BE49-F238E27FC236}">
              <a16:creationId xmlns:a16="http://schemas.microsoft.com/office/drawing/2014/main" id="{A2CC8D30-2562-4BE5-A8B7-FC54C43BAD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5743575" y="114300"/>
          <a:ext cx="1960034" cy="675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6" name="Straight Connector 5">
          <a:extLst>
            <a:ext uri="{FF2B5EF4-FFF2-40B4-BE49-F238E27FC236}">
              <a16:creationId xmlns:a16="http://schemas.microsoft.com/office/drawing/2014/main" id="{05C5CE5E-288C-430F-9622-D7A518BD75B4}"/>
            </a:ext>
          </a:extLst>
        </xdr:cNvPr>
        <xdr:cNvCxnSpPr/>
      </xdr:nvCxnSpPr>
      <xdr:spPr>
        <a:xfrm>
          <a:off x="258420" y="3447303"/>
          <a:ext cx="833424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704730</xdr:rowOff>
    </xdr:to>
    <xdr:pic>
      <xdr:nvPicPr>
        <xdr:cNvPr id="7" name="Picture 6">
          <a:extLst>
            <a:ext uri="{FF2B5EF4-FFF2-40B4-BE49-F238E27FC236}">
              <a16:creationId xmlns:a16="http://schemas.microsoft.com/office/drawing/2014/main" id="{1484DE77-BBF2-43E3-931B-9B9411ADD74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2941" y="1744285"/>
          <a:ext cx="505391" cy="71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620304</xdr:colOff>
      <xdr:row>3</xdr:row>
      <xdr:rowOff>683775</xdr:rowOff>
    </xdr:to>
    <xdr:pic>
      <xdr:nvPicPr>
        <xdr:cNvPr id="8" name="Picture 12">
          <a:extLst>
            <a:ext uri="{FF2B5EF4-FFF2-40B4-BE49-F238E27FC236}">
              <a16:creationId xmlns:a16="http://schemas.microsoft.com/office/drawing/2014/main" id="{20DBD3DF-B13B-4C93-9815-5ECFABAB603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96730" y="1771530"/>
          <a:ext cx="448463"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9</xdr:row>
      <xdr:rowOff>164798</xdr:rowOff>
    </xdr:from>
    <xdr:to>
      <xdr:col>2</xdr:col>
      <xdr:colOff>389627</xdr:colOff>
      <xdr:row>12</xdr:row>
      <xdr:rowOff>208340</xdr:rowOff>
    </xdr:to>
    <xdr:pic>
      <xdr:nvPicPr>
        <xdr:cNvPr id="9" name="Picture 6">
          <a:extLst>
            <a:ext uri="{FF2B5EF4-FFF2-40B4-BE49-F238E27FC236}">
              <a16:creationId xmlns:a16="http://schemas.microsoft.com/office/drawing/2014/main" id="{753183A7-F157-4303-BF1B-7B5E0BD6B52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4367" y="5200348"/>
          <a:ext cx="543299" cy="77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371133</xdr:colOff>
      <xdr:row>15</xdr:row>
      <xdr:rowOff>10634</xdr:rowOff>
    </xdr:to>
    <xdr:pic>
      <xdr:nvPicPr>
        <xdr:cNvPr id="10" name="Picture 12">
          <a:extLst>
            <a:ext uri="{FF2B5EF4-FFF2-40B4-BE49-F238E27FC236}">
              <a16:creationId xmlns:a16="http://schemas.microsoft.com/office/drawing/2014/main" id="{7B67E115-C5C3-4275-A020-5D0FE27A0A3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668" cy="668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1</xdr:col>
      <xdr:colOff>1255359</xdr:colOff>
      <xdr:row>72</xdr:row>
      <xdr:rowOff>9293</xdr:rowOff>
    </xdr:to>
    <xdr:pic>
      <xdr:nvPicPr>
        <xdr:cNvPr id="11" name="Picture 8">
          <a:extLst>
            <a:ext uri="{FF2B5EF4-FFF2-40B4-BE49-F238E27FC236}">
              <a16:creationId xmlns:a16="http://schemas.microsoft.com/office/drawing/2014/main" id="{1FF5E3A7-EB1A-45AD-89D4-4361BD0417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8125" y="15468600"/>
          <a:ext cx="1255359" cy="11144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46</xdr:row>
      <xdr:rowOff>0</xdr:rowOff>
    </xdr:from>
    <xdr:to>
      <xdr:col>1</xdr:col>
      <xdr:colOff>1257502</xdr:colOff>
      <xdr:row>51</xdr:row>
      <xdr:rowOff>93234</xdr:rowOff>
    </xdr:to>
    <xdr:pic>
      <xdr:nvPicPr>
        <xdr:cNvPr id="12" name="Picture 5">
          <a:extLst>
            <a:ext uri="{FF2B5EF4-FFF2-40B4-BE49-F238E27FC236}">
              <a16:creationId xmlns:a16="http://schemas.microsoft.com/office/drawing/2014/main" id="{5CAF2D58-9F81-4882-942F-BE843607DD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12249150"/>
          <a:ext cx="1257502" cy="1211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370964</xdr:colOff>
      <xdr:row>15</xdr:row>
      <xdr:rowOff>10803</xdr:rowOff>
    </xdr:to>
    <xdr:pic>
      <xdr:nvPicPr>
        <xdr:cNvPr id="13" name="Picture 12">
          <a:extLst>
            <a:ext uri="{FF2B5EF4-FFF2-40B4-BE49-F238E27FC236}">
              <a16:creationId xmlns:a16="http://schemas.microsoft.com/office/drawing/2014/main" id="{4B46CCE4-BF74-4DA2-A10A-A5EF3902A48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699" cy="66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2" name="Picture 5">
          <a:extLst>
            <a:ext uri="{FF2B5EF4-FFF2-40B4-BE49-F238E27FC236}">
              <a16:creationId xmlns:a16="http://schemas.microsoft.com/office/drawing/2014/main" id="{BE7257DD-5FD1-45A9-B4DA-FDDE445F79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2" y="218017"/>
          <a:ext cx="2192866" cy="145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3" name="Straight Connector 2">
          <a:extLst>
            <a:ext uri="{FF2B5EF4-FFF2-40B4-BE49-F238E27FC236}">
              <a16:creationId xmlns:a16="http://schemas.microsoft.com/office/drawing/2014/main" id="{528C4016-82C0-4C9C-8580-16172B32F395}"/>
            </a:ext>
          </a:extLst>
        </xdr:cNvPr>
        <xdr:cNvCxnSpPr/>
      </xdr:nvCxnSpPr>
      <xdr:spPr>
        <a:xfrm flipV="1">
          <a:off x="286808" y="2503186"/>
          <a:ext cx="1921645"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4" name="Straight Connector 3">
          <a:extLst>
            <a:ext uri="{FF2B5EF4-FFF2-40B4-BE49-F238E27FC236}">
              <a16:creationId xmlns:a16="http://schemas.microsoft.com/office/drawing/2014/main" id="{F43CA8BA-E014-4FF7-BB15-6124BF4F6D1B}"/>
            </a:ext>
          </a:extLst>
        </xdr:cNvPr>
        <xdr:cNvCxnSpPr/>
      </xdr:nvCxnSpPr>
      <xdr:spPr>
        <a:xfrm flipV="1">
          <a:off x="286808" y="2258483"/>
          <a:ext cx="3695908" cy="9322"/>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778936</xdr:colOff>
      <xdr:row>0</xdr:row>
      <xdr:rowOff>791825</xdr:rowOff>
    </xdr:to>
    <xdr:pic>
      <xdr:nvPicPr>
        <xdr:cNvPr id="5" name="Picture 9">
          <a:extLst>
            <a:ext uri="{FF2B5EF4-FFF2-40B4-BE49-F238E27FC236}">
              <a16:creationId xmlns:a16="http://schemas.microsoft.com/office/drawing/2014/main" id="{3E576D82-FC9D-41CE-9D21-B6AF3E08BF8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5743575" y="114300"/>
          <a:ext cx="1960034" cy="677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6" name="Straight Connector 5">
          <a:extLst>
            <a:ext uri="{FF2B5EF4-FFF2-40B4-BE49-F238E27FC236}">
              <a16:creationId xmlns:a16="http://schemas.microsoft.com/office/drawing/2014/main" id="{495B3125-B91A-49AD-8038-2CF21912ED8F}"/>
            </a:ext>
          </a:extLst>
        </xdr:cNvPr>
        <xdr:cNvCxnSpPr/>
      </xdr:nvCxnSpPr>
      <xdr:spPr>
        <a:xfrm>
          <a:off x="258420" y="3447303"/>
          <a:ext cx="833424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704730</xdr:rowOff>
    </xdr:to>
    <xdr:pic>
      <xdr:nvPicPr>
        <xdr:cNvPr id="7" name="Picture 6">
          <a:extLst>
            <a:ext uri="{FF2B5EF4-FFF2-40B4-BE49-F238E27FC236}">
              <a16:creationId xmlns:a16="http://schemas.microsoft.com/office/drawing/2014/main" id="{DBFE0CEE-D054-43A5-903D-5F185F02F33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2941" y="1744285"/>
          <a:ext cx="505391" cy="71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618269</xdr:colOff>
      <xdr:row>3</xdr:row>
      <xdr:rowOff>683775</xdr:rowOff>
    </xdr:to>
    <xdr:pic>
      <xdr:nvPicPr>
        <xdr:cNvPr id="8" name="Picture 12">
          <a:extLst>
            <a:ext uri="{FF2B5EF4-FFF2-40B4-BE49-F238E27FC236}">
              <a16:creationId xmlns:a16="http://schemas.microsoft.com/office/drawing/2014/main" id="{019E9C60-860D-4371-9C49-4CF7C47E00F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96730" y="1771530"/>
          <a:ext cx="446315"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13</xdr:row>
      <xdr:rowOff>164798</xdr:rowOff>
    </xdr:from>
    <xdr:to>
      <xdr:col>2</xdr:col>
      <xdr:colOff>391825</xdr:colOff>
      <xdr:row>16</xdr:row>
      <xdr:rowOff>208340</xdr:rowOff>
    </xdr:to>
    <xdr:pic>
      <xdr:nvPicPr>
        <xdr:cNvPr id="9" name="Picture 6">
          <a:extLst>
            <a:ext uri="{FF2B5EF4-FFF2-40B4-BE49-F238E27FC236}">
              <a16:creationId xmlns:a16="http://schemas.microsoft.com/office/drawing/2014/main" id="{B6F53E9E-1385-49CB-A854-6A6517ED8CE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4367" y="6190948"/>
          <a:ext cx="545384" cy="77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0</xdr:rowOff>
    </xdr:from>
    <xdr:to>
      <xdr:col>1</xdr:col>
      <xdr:colOff>1255425</xdr:colOff>
      <xdr:row>39</xdr:row>
      <xdr:rowOff>94282</xdr:rowOff>
    </xdr:to>
    <xdr:pic>
      <xdr:nvPicPr>
        <xdr:cNvPr id="11" name="Picture 5">
          <a:extLst>
            <a:ext uri="{FF2B5EF4-FFF2-40B4-BE49-F238E27FC236}">
              <a16:creationId xmlns:a16="http://schemas.microsoft.com/office/drawing/2014/main" id="{9628D53A-A0DF-42EC-9A4D-3BCC282F653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8125" y="10896600"/>
          <a:ext cx="1255425" cy="1201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2" name="Picture 5">
          <a:extLst>
            <a:ext uri="{FF2B5EF4-FFF2-40B4-BE49-F238E27FC236}">
              <a16:creationId xmlns:a16="http://schemas.microsoft.com/office/drawing/2014/main" id="{4385C4FC-6437-4C8E-B428-37C7F19272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75" y="219075"/>
          <a:ext cx="2194983" cy="1459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3" name="Straight Connector 2">
          <a:extLst>
            <a:ext uri="{FF2B5EF4-FFF2-40B4-BE49-F238E27FC236}">
              <a16:creationId xmlns:a16="http://schemas.microsoft.com/office/drawing/2014/main" id="{8DA099AB-C46F-4D75-B92E-53D6CDB579EF}"/>
            </a:ext>
          </a:extLst>
        </xdr:cNvPr>
        <xdr:cNvCxnSpPr/>
      </xdr:nvCxnSpPr>
      <xdr:spPr>
        <a:xfrm flipV="1">
          <a:off x="288925" y="2508477"/>
          <a:ext cx="1923761"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4" name="Straight Connector 3">
          <a:extLst>
            <a:ext uri="{FF2B5EF4-FFF2-40B4-BE49-F238E27FC236}">
              <a16:creationId xmlns:a16="http://schemas.microsoft.com/office/drawing/2014/main" id="{482109D2-3B2A-4155-B337-AE1F983DFD11}"/>
            </a:ext>
          </a:extLst>
        </xdr:cNvPr>
        <xdr:cNvCxnSpPr/>
      </xdr:nvCxnSpPr>
      <xdr:spPr>
        <a:xfrm flipV="1">
          <a:off x="288925" y="2261658"/>
          <a:ext cx="3695908" cy="826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778936</xdr:colOff>
      <xdr:row>0</xdr:row>
      <xdr:rowOff>791804</xdr:rowOff>
    </xdr:to>
    <xdr:pic>
      <xdr:nvPicPr>
        <xdr:cNvPr id="5" name="Picture 9">
          <a:extLst>
            <a:ext uri="{FF2B5EF4-FFF2-40B4-BE49-F238E27FC236}">
              <a16:creationId xmlns:a16="http://schemas.microsoft.com/office/drawing/2014/main" id="{A61E7E4A-19CB-4E89-83D1-4C7FAE50BF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5748867" y="114300"/>
          <a:ext cx="1962151" cy="674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6" name="Straight Connector 5">
          <a:extLst>
            <a:ext uri="{FF2B5EF4-FFF2-40B4-BE49-F238E27FC236}">
              <a16:creationId xmlns:a16="http://schemas.microsoft.com/office/drawing/2014/main" id="{05B0649A-6CDE-4758-AD8B-FB4E26FE6954}"/>
            </a:ext>
          </a:extLst>
        </xdr:cNvPr>
        <xdr:cNvCxnSpPr/>
      </xdr:nvCxnSpPr>
      <xdr:spPr>
        <a:xfrm>
          <a:off x="263712" y="3445186"/>
          <a:ext cx="8331065"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704730</xdr:rowOff>
    </xdr:to>
    <xdr:pic>
      <xdr:nvPicPr>
        <xdr:cNvPr id="7" name="Picture 6">
          <a:extLst>
            <a:ext uri="{FF2B5EF4-FFF2-40B4-BE49-F238E27FC236}">
              <a16:creationId xmlns:a16="http://schemas.microsoft.com/office/drawing/2014/main" id="{2382A291-CEB7-42A1-83C6-4C5CC8CCF0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5058" y="1749577"/>
          <a:ext cx="508566" cy="714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618290</xdr:colOff>
      <xdr:row>3</xdr:row>
      <xdr:rowOff>683775</xdr:rowOff>
    </xdr:to>
    <xdr:pic>
      <xdr:nvPicPr>
        <xdr:cNvPr id="8" name="Picture 12">
          <a:extLst>
            <a:ext uri="{FF2B5EF4-FFF2-40B4-BE49-F238E27FC236}">
              <a16:creationId xmlns:a16="http://schemas.microsoft.com/office/drawing/2014/main" id="{3DEBBE85-D888-44F4-B5AD-CC17E9917B0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104139" y="1773646"/>
          <a:ext cx="443184" cy="666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9</xdr:row>
      <xdr:rowOff>164798</xdr:rowOff>
    </xdr:from>
    <xdr:to>
      <xdr:col>2</xdr:col>
      <xdr:colOff>391846</xdr:colOff>
      <xdr:row>12</xdr:row>
      <xdr:rowOff>208340</xdr:rowOff>
    </xdr:to>
    <xdr:pic>
      <xdr:nvPicPr>
        <xdr:cNvPr id="9" name="Picture 6">
          <a:extLst>
            <a:ext uri="{FF2B5EF4-FFF2-40B4-BE49-F238E27FC236}">
              <a16:creationId xmlns:a16="http://schemas.microsoft.com/office/drawing/2014/main" id="{D51721DB-1D84-4BF2-B809-80FF9CB7EA5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01775" y="5206698"/>
          <a:ext cx="544370" cy="76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373147</xdr:colOff>
      <xdr:row>15</xdr:row>
      <xdr:rowOff>8620</xdr:rowOff>
    </xdr:to>
    <xdr:pic>
      <xdr:nvPicPr>
        <xdr:cNvPr id="10" name="Picture 12">
          <a:extLst>
            <a:ext uri="{FF2B5EF4-FFF2-40B4-BE49-F238E27FC236}">
              <a16:creationId xmlns:a16="http://schemas.microsoft.com/office/drawing/2014/main" id="{BC2BFB5D-3B5F-4D0D-B7BE-BB74630A3FA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9426" y="5880160"/>
          <a:ext cx="515655" cy="659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55</xdr:row>
      <xdr:rowOff>0</xdr:rowOff>
    </xdr:from>
    <xdr:to>
      <xdr:col>1</xdr:col>
      <xdr:colOff>1255359</xdr:colOff>
      <xdr:row>60</xdr:row>
      <xdr:rowOff>855</xdr:rowOff>
    </xdr:to>
    <xdr:pic>
      <xdr:nvPicPr>
        <xdr:cNvPr id="11" name="Picture 8">
          <a:extLst>
            <a:ext uri="{FF2B5EF4-FFF2-40B4-BE49-F238E27FC236}">
              <a16:creationId xmlns:a16="http://schemas.microsoft.com/office/drawing/2014/main" id="{B762DD77-E4BD-4FEA-B9B6-B276AB2D2DF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1300" y="15388167"/>
          <a:ext cx="1255359" cy="1104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34</xdr:row>
      <xdr:rowOff>0</xdr:rowOff>
    </xdr:from>
    <xdr:to>
      <xdr:col>1</xdr:col>
      <xdr:colOff>1257502</xdr:colOff>
      <xdr:row>39</xdr:row>
      <xdr:rowOff>105954</xdr:rowOff>
    </xdr:to>
    <xdr:pic>
      <xdr:nvPicPr>
        <xdr:cNvPr id="12" name="Picture 5">
          <a:extLst>
            <a:ext uri="{FF2B5EF4-FFF2-40B4-BE49-F238E27FC236}">
              <a16:creationId xmlns:a16="http://schemas.microsoft.com/office/drawing/2014/main" id="{5DE4F99D-056A-4E9D-A2D8-A71495FCA30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1300" y="12187767"/>
          <a:ext cx="1261735" cy="12016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372015</xdr:colOff>
      <xdr:row>15</xdr:row>
      <xdr:rowOff>9752</xdr:rowOff>
    </xdr:to>
    <xdr:pic>
      <xdr:nvPicPr>
        <xdr:cNvPr id="13" name="Picture 12">
          <a:extLst>
            <a:ext uri="{FF2B5EF4-FFF2-40B4-BE49-F238E27FC236}">
              <a16:creationId xmlns:a16="http://schemas.microsoft.com/office/drawing/2014/main" id="{6D14EE79-2C41-4913-BAEC-8E6FEF55E33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699" cy="66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3" name="Picture 5">
          <a:extLst>
            <a:ext uri="{FF2B5EF4-FFF2-40B4-BE49-F238E27FC236}">
              <a16:creationId xmlns:a16="http://schemas.microsoft.com/office/drawing/2014/main" id="{5847BE67-56DC-42A5-91F3-84A2C4A8A8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2" y="218017"/>
          <a:ext cx="2192866" cy="145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4" name="Straight Connector 3">
          <a:extLst>
            <a:ext uri="{FF2B5EF4-FFF2-40B4-BE49-F238E27FC236}">
              <a16:creationId xmlns:a16="http://schemas.microsoft.com/office/drawing/2014/main" id="{D526933E-B75B-4E59-995F-3293B3714441}"/>
            </a:ext>
          </a:extLst>
        </xdr:cNvPr>
        <xdr:cNvCxnSpPr/>
      </xdr:nvCxnSpPr>
      <xdr:spPr>
        <a:xfrm flipV="1">
          <a:off x="286808" y="2503186"/>
          <a:ext cx="1921645"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5" name="Straight Connector 4">
          <a:extLst>
            <a:ext uri="{FF2B5EF4-FFF2-40B4-BE49-F238E27FC236}">
              <a16:creationId xmlns:a16="http://schemas.microsoft.com/office/drawing/2014/main" id="{1EB1178B-8F6C-4F70-A54D-C83551A02D9D}"/>
            </a:ext>
          </a:extLst>
        </xdr:cNvPr>
        <xdr:cNvCxnSpPr/>
      </xdr:nvCxnSpPr>
      <xdr:spPr>
        <a:xfrm flipV="1">
          <a:off x="286808" y="2258483"/>
          <a:ext cx="3353008" cy="9322"/>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778936</xdr:colOff>
      <xdr:row>0</xdr:row>
      <xdr:rowOff>791755</xdr:rowOff>
    </xdr:to>
    <xdr:pic>
      <xdr:nvPicPr>
        <xdr:cNvPr id="6" name="Picture 9">
          <a:extLst>
            <a:ext uri="{FF2B5EF4-FFF2-40B4-BE49-F238E27FC236}">
              <a16:creationId xmlns:a16="http://schemas.microsoft.com/office/drawing/2014/main" id="{78E08160-B7BE-4E2B-9E61-722F414A94D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5400675" y="114300"/>
          <a:ext cx="1960033" cy="6773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7" name="Straight Connector 6">
          <a:extLst>
            <a:ext uri="{FF2B5EF4-FFF2-40B4-BE49-F238E27FC236}">
              <a16:creationId xmlns:a16="http://schemas.microsoft.com/office/drawing/2014/main" id="{F1C2DE1C-3DBD-468D-8E82-62D7FADFBDD8}"/>
            </a:ext>
          </a:extLst>
        </xdr:cNvPr>
        <xdr:cNvCxnSpPr/>
      </xdr:nvCxnSpPr>
      <xdr:spPr>
        <a:xfrm>
          <a:off x="258420" y="3447303"/>
          <a:ext cx="799134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704730</xdr:rowOff>
    </xdr:to>
    <xdr:pic>
      <xdr:nvPicPr>
        <xdr:cNvPr id="8" name="Picture 6">
          <a:extLst>
            <a:ext uri="{FF2B5EF4-FFF2-40B4-BE49-F238E27FC236}">
              <a16:creationId xmlns:a16="http://schemas.microsoft.com/office/drawing/2014/main" id="{98000E8E-FF66-4E88-B005-09AA263535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90041" y="1744285"/>
          <a:ext cx="505390" cy="71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618339</xdr:colOff>
      <xdr:row>3</xdr:row>
      <xdr:rowOff>683775</xdr:rowOff>
    </xdr:to>
    <xdr:pic>
      <xdr:nvPicPr>
        <xdr:cNvPr id="9" name="Picture 12">
          <a:extLst>
            <a:ext uri="{FF2B5EF4-FFF2-40B4-BE49-F238E27FC236}">
              <a16:creationId xmlns:a16="http://schemas.microsoft.com/office/drawing/2014/main" id="{A01D820C-2380-4521-A307-C6A69B1797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53830" y="1771530"/>
          <a:ext cx="446388"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9</xdr:row>
      <xdr:rowOff>164798</xdr:rowOff>
    </xdr:from>
    <xdr:to>
      <xdr:col>2</xdr:col>
      <xdr:colOff>391895</xdr:colOff>
      <xdr:row>12</xdr:row>
      <xdr:rowOff>208340</xdr:rowOff>
    </xdr:to>
    <xdr:pic>
      <xdr:nvPicPr>
        <xdr:cNvPr id="10" name="Picture 6">
          <a:extLst>
            <a:ext uri="{FF2B5EF4-FFF2-40B4-BE49-F238E27FC236}">
              <a16:creationId xmlns:a16="http://schemas.microsoft.com/office/drawing/2014/main" id="{F3FAB00D-8460-41FD-AAE9-16328B9612C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4367" y="6190948"/>
          <a:ext cx="545457" cy="77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373098</xdr:colOff>
      <xdr:row>15</xdr:row>
      <xdr:rowOff>8669</xdr:rowOff>
    </xdr:to>
    <xdr:pic>
      <xdr:nvPicPr>
        <xdr:cNvPr id="11" name="Picture 12">
          <a:extLst>
            <a:ext uri="{FF2B5EF4-FFF2-40B4-BE49-F238E27FC236}">
              <a16:creationId xmlns:a16="http://schemas.microsoft.com/office/drawing/2014/main" id="{36A569C0-F414-4262-849A-AF28D4B9BA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6867585"/>
          <a:ext cx="517743" cy="667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1</xdr:col>
      <xdr:colOff>1255359</xdr:colOff>
      <xdr:row>66</xdr:row>
      <xdr:rowOff>9278</xdr:rowOff>
    </xdr:to>
    <xdr:pic>
      <xdr:nvPicPr>
        <xdr:cNvPr id="12" name="Picture 8">
          <a:extLst>
            <a:ext uri="{FF2B5EF4-FFF2-40B4-BE49-F238E27FC236}">
              <a16:creationId xmlns:a16="http://schemas.microsoft.com/office/drawing/2014/main" id="{E276027A-9E8D-478C-841C-1CA5B48C67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8125" y="13801725"/>
          <a:ext cx="1255359" cy="1094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1</xdr:col>
      <xdr:colOff>1257502</xdr:colOff>
      <xdr:row>45</xdr:row>
      <xdr:rowOff>106031</xdr:rowOff>
    </xdr:to>
    <xdr:pic>
      <xdr:nvPicPr>
        <xdr:cNvPr id="20" name="Picture 5">
          <a:extLst>
            <a:ext uri="{FF2B5EF4-FFF2-40B4-BE49-F238E27FC236}">
              <a16:creationId xmlns:a16="http://schemas.microsoft.com/office/drawing/2014/main" id="{0AF0983E-F54E-4997-ACDF-B5FBCC4D0E0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1904" y="12452047"/>
          <a:ext cx="1261735" cy="1192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76200</xdr:colOff>
      <xdr:row>44</xdr:row>
      <xdr:rowOff>9071</xdr:rowOff>
    </xdr:from>
    <xdr:to>
      <xdr:col>2</xdr:col>
      <xdr:colOff>85726</xdr:colOff>
      <xdr:row>49</xdr:row>
      <xdr:rowOff>67314</xdr:rowOff>
    </xdr:to>
    <xdr:pic>
      <xdr:nvPicPr>
        <xdr:cNvPr id="2" name="Picture 4">
          <a:extLst>
            <a:ext uri="{FF2B5EF4-FFF2-40B4-BE49-F238E27FC236}">
              <a16:creationId xmlns:a16="http://schemas.microsoft.com/office/drawing/2014/main" id="{52742B8D-C664-43E6-8EC9-2E2516FB8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129" y="11883571"/>
          <a:ext cx="1337129" cy="11889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69850</xdr:colOff>
      <xdr:row>0</xdr:row>
      <xdr:rowOff>222250</xdr:rowOff>
    </xdr:from>
    <xdr:to>
      <xdr:col>2</xdr:col>
      <xdr:colOff>882650</xdr:colOff>
      <xdr:row>2</xdr:row>
      <xdr:rowOff>679450</xdr:rowOff>
    </xdr:to>
    <xdr:pic>
      <xdr:nvPicPr>
        <xdr:cNvPr id="3" name="Picture 5">
          <a:extLst>
            <a:ext uri="{FF2B5EF4-FFF2-40B4-BE49-F238E27FC236}">
              <a16:creationId xmlns:a16="http://schemas.microsoft.com/office/drawing/2014/main" id="{CE6F6959-4290-44EF-A765-BA0109F4F5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150" y="222250"/>
          <a:ext cx="2139950" cy="147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1193800</xdr:colOff>
      <xdr:row>3</xdr:row>
      <xdr:rowOff>69850</xdr:rowOff>
    </xdr:from>
    <xdr:to>
      <xdr:col>6</xdr:col>
      <xdr:colOff>172356</xdr:colOff>
      <xdr:row>3</xdr:row>
      <xdr:rowOff>657225</xdr:rowOff>
    </xdr:to>
    <xdr:pic>
      <xdr:nvPicPr>
        <xdr:cNvPr id="4" name="Picture 6">
          <a:extLst>
            <a:ext uri="{FF2B5EF4-FFF2-40B4-BE49-F238E27FC236}">
              <a16:creationId xmlns:a16="http://schemas.microsoft.com/office/drawing/2014/main" id="{B37F742E-2F50-4528-92AB-59FE8E27ACC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45250" y="1835150"/>
          <a:ext cx="496206"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78740</xdr:colOff>
      <xdr:row>3</xdr:row>
      <xdr:rowOff>759264</xdr:rowOff>
    </xdr:from>
    <xdr:to>
      <xdr:col>2</xdr:col>
      <xdr:colOff>562574</xdr:colOff>
      <xdr:row>3</xdr:row>
      <xdr:rowOff>762437</xdr:rowOff>
    </xdr:to>
    <xdr:cxnSp macro="">
      <xdr:nvCxnSpPr>
        <xdr:cNvPr id="5" name="Straight Connector 4">
          <a:extLst>
            <a:ext uri="{FF2B5EF4-FFF2-40B4-BE49-F238E27FC236}">
              <a16:creationId xmlns:a16="http://schemas.microsoft.com/office/drawing/2014/main" id="{36704450-1AA1-4423-950A-1784AA6EB144}"/>
            </a:ext>
          </a:extLst>
        </xdr:cNvPr>
        <xdr:cNvCxnSpPr/>
      </xdr:nvCxnSpPr>
      <xdr:spPr>
        <a:xfrm flipV="1">
          <a:off x="320040" y="2524564"/>
          <a:ext cx="1810984"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78740</xdr:colOff>
      <xdr:row>3</xdr:row>
      <xdr:rowOff>508387</xdr:rowOff>
    </xdr:from>
    <xdr:to>
      <xdr:col>4</xdr:col>
      <xdr:colOff>1039623</xdr:colOff>
      <xdr:row>3</xdr:row>
      <xdr:rowOff>537401</xdr:rowOff>
    </xdr:to>
    <xdr:cxnSp macro="">
      <xdr:nvCxnSpPr>
        <xdr:cNvPr id="6" name="Straight Connector 5">
          <a:extLst>
            <a:ext uri="{FF2B5EF4-FFF2-40B4-BE49-F238E27FC236}">
              <a16:creationId xmlns:a16="http://schemas.microsoft.com/office/drawing/2014/main" id="{056F371A-D43C-403D-A8B1-FC799076E474}"/>
            </a:ext>
          </a:extLst>
        </xdr:cNvPr>
        <xdr:cNvCxnSpPr/>
      </xdr:nvCxnSpPr>
      <xdr:spPr>
        <a:xfrm flipV="1">
          <a:off x="317799" y="2278916"/>
          <a:ext cx="3852000" cy="29014"/>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1282700</xdr:colOff>
      <xdr:row>0</xdr:row>
      <xdr:rowOff>114300</xdr:rowOff>
    </xdr:from>
    <xdr:to>
      <xdr:col>4</xdr:col>
      <xdr:colOff>1969434</xdr:colOff>
      <xdr:row>0</xdr:row>
      <xdr:rowOff>752475</xdr:rowOff>
    </xdr:to>
    <xdr:pic>
      <xdr:nvPicPr>
        <xdr:cNvPr id="7" name="Picture 9">
          <a:extLst>
            <a:ext uri="{FF2B5EF4-FFF2-40B4-BE49-F238E27FC236}">
              <a16:creationId xmlns:a16="http://schemas.microsoft.com/office/drawing/2014/main" id="{2058530E-53B1-485F-9F85-19CBA9BCD73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347" t="14893" r="1881" b="25555"/>
        <a:stretch>
          <a:fillRect/>
        </a:stretch>
      </xdr:blipFill>
      <xdr:spPr bwMode="auto">
        <a:xfrm>
          <a:off x="3886200" y="114300"/>
          <a:ext cx="1974850" cy="64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37638</xdr:colOff>
      <xdr:row>5</xdr:row>
      <xdr:rowOff>94503</xdr:rowOff>
    </xdr:from>
    <xdr:to>
      <xdr:col>8</xdr:col>
      <xdr:colOff>1843960</xdr:colOff>
      <xdr:row>5</xdr:row>
      <xdr:rowOff>94503</xdr:rowOff>
    </xdr:to>
    <xdr:cxnSp macro="">
      <xdr:nvCxnSpPr>
        <xdr:cNvPr id="8" name="Straight Connector 7">
          <a:extLst>
            <a:ext uri="{FF2B5EF4-FFF2-40B4-BE49-F238E27FC236}">
              <a16:creationId xmlns:a16="http://schemas.microsoft.com/office/drawing/2014/main" id="{8446E2D1-61C7-4DD3-A36E-DD216FEAE8B6}"/>
            </a:ext>
          </a:extLst>
        </xdr:cNvPr>
        <xdr:cNvCxnSpPr/>
      </xdr:nvCxnSpPr>
      <xdr:spPr>
        <a:xfrm>
          <a:off x="282567" y="3455467"/>
          <a:ext cx="957600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127001</xdr:colOff>
      <xdr:row>64</xdr:row>
      <xdr:rowOff>59765</xdr:rowOff>
    </xdr:from>
    <xdr:to>
      <xdr:col>1</xdr:col>
      <xdr:colOff>1131434</xdr:colOff>
      <xdr:row>69</xdr:row>
      <xdr:rowOff>11232</xdr:rowOff>
    </xdr:to>
    <xdr:pic>
      <xdr:nvPicPr>
        <xdr:cNvPr id="9" name="Picture 8">
          <a:extLst>
            <a:ext uri="{FF2B5EF4-FFF2-40B4-BE49-F238E27FC236}">
              <a16:creationId xmlns:a16="http://schemas.microsoft.com/office/drawing/2014/main" id="{A7965DCF-13DC-4337-8143-53D0A2317B1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7001" y="14093265"/>
          <a:ext cx="1248908" cy="109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687295</xdr:colOff>
      <xdr:row>12</xdr:row>
      <xdr:rowOff>29882</xdr:rowOff>
    </xdr:from>
    <xdr:to>
      <xdr:col>1</xdr:col>
      <xdr:colOff>1171483</xdr:colOff>
      <xdr:row>15</xdr:row>
      <xdr:rowOff>96090</xdr:rowOff>
    </xdr:to>
    <xdr:pic>
      <xdr:nvPicPr>
        <xdr:cNvPr id="10" name="Picture 6">
          <a:extLst>
            <a:ext uri="{FF2B5EF4-FFF2-40B4-BE49-F238E27FC236}">
              <a16:creationId xmlns:a16="http://schemas.microsoft.com/office/drawing/2014/main" id="{2709F218-599E-4407-80AB-241FC8929F9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8595" y="5224182"/>
          <a:ext cx="481013" cy="567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679823</xdr:colOff>
      <xdr:row>15</xdr:row>
      <xdr:rowOff>134470</xdr:rowOff>
    </xdr:from>
    <xdr:to>
      <xdr:col>1</xdr:col>
      <xdr:colOff>1151311</xdr:colOff>
      <xdr:row>18</xdr:row>
      <xdr:rowOff>69570</xdr:rowOff>
    </xdr:to>
    <xdr:pic>
      <xdr:nvPicPr>
        <xdr:cNvPr id="11" name="Picture 12">
          <a:extLst>
            <a:ext uri="{FF2B5EF4-FFF2-40B4-BE49-F238E27FC236}">
              <a16:creationId xmlns:a16="http://schemas.microsoft.com/office/drawing/2014/main" id="{AD353EF4-498C-4A2F-91E3-1E60848CD7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1123" y="5830420"/>
          <a:ext cx="468313" cy="55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337671</xdr:colOff>
      <xdr:row>3</xdr:row>
      <xdr:rowOff>110565</xdr:rowOff>
    </xdr:from>
    <xdr:to>
      <xdr:col>6</xdr:col>
      <xdr:colOff>809159</xdr:colOff>
      <xdr:row>3</xdr:row>
      <xdr:rowOff>658253</xdr:rowOff>
    </xdr:to>
    <xdr:pic>
      <xdr:nvPicPr>
        <xdr:cNvPr id="12" name="Picture 12">
          <a:extLst>
            <a:ext uri="{FF2B5EF4-FFF2-40B4-BE49-F238E27FC236}">
              <a16:creationId xmlns:a16="http://schemas.microsoft.com/office/drawing/2014/main" id="{BFF62240-ECD6-4EF0-893B-E504E0E73AD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06771" y="1875865"/>
          <a:ext cx="468313" cy="550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2" name="Picture 5">
          <a:extLst>
            <a:ext uri="{FF2B5EF4-FFF2-40B4-BE49-F238E27FC236}">
              <a16:creationId xmlns:a16="http://schemas.microsoft.com/office/drawing/2014/main" id="{6186DB7F-5F90-4903-B4BA-FBB79B7F4C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2" y="218017"/>
          <a:ext cx="2192866" cy="145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3" name="Straight Connector 2">
          <a:extLst>
            <a:ext uri="{FF2B5EF4-FFF2-40B4-BE49-F238E27FC236}">
              <a16:creationId xmlns:a16="http://schemas.microsoft.com/office/drawing/2014/main" id="{92AAA1EE-4262-44C6-B3B9-FFF93CEDF2CC}"/>
            </a:ext>
          </a:extLst>
        </xdr:cNvPr>
        <xdr:cNvCxnSpPr/>
      </xdr:nvCxnSpPr>
      <xdr:spPr>
        <a:xfrm flipV="1">
          <a:off x="286808" y="2503186"/>
          <a:ext cx="1921645"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4" name="Straight Connector 3">
          <a:extLst>
            <a:ext uri="{FF2B5EF4-FFF2-40B4-BE49-F238E27FC236}">
              <a16:creationId xmlns:a16="http://schemas.microsoft.com/office/drawing/2014/main" id="{9EEB5B88-239C-458D-BDFF-1803F236BFC6}"/>
            </a:ext>
          </a:extLst>
        </xdr:cNvPr>
        <xdr:cNvCxnSpPr/>
      </xdr:nvCxnSpPr>
      <xdr:spPr>
        <a:xfrm flipV="1">
          <a:off x="286808" y="2258483"/>
          <a:ext cx="3695908" cy="9322"/>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778936</xdr:colOff>
      <xdr:row>0</xdr:row>
      <xdr:rowOff>789696</xdr:rowOff>
    </xdr:to>
    <xdr:pic>
      <xdr:nvPicPr>
        <xdr:cNvPr id="5" name="Picture 9">
          <a:extLst>
            <a:ext uri="{FF2B5EF4-FFF2-40B4-BE49-F238E27FC236}">
              <a16:creationId xmlns:a16="http://schemas.microsoft.com/office/drawing/2014/main" id="{B6AFEFD2-AE49-4648-848F-F90442B7A4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5743575" y="114300"/>
          <a:ext cx="1960034" cy="67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6" name="Straight Connector 5">
          <a:extLst>
            <a:ext uri="{FF2B5EF4-FFF2-40B4-BE49-F238E27FC236}">
              <a16:creationId xmlns:a16="http://schemas.microsoft.com/office/drawing/2014/main" id="{35CBF1A8-0846-4D5E-9D9D-945B8CFD7208}"/>
            </a:ext>
          </a:extLst>
        </xdr:cNvPr>
        <xdr:cNvCxnSpPr/>
      </xdr:nvCxnSpPr>
      <xdr:spPr>
        <a:xfrm>
          <a:off x="258420" y="3447303"/>
          <a:ext cx="833424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704730</xdr:rowOff>
    </xdr:to>
    <xdr:pic>
      <xdr:nvPicPr>
        <xdr:cNvPr id="7" name="Picture 6">
          <a:extLst>
            <a:ext uri="{FF2B5EF4-FFF2-40B4-BE49-F238E27FC236}">
              <a16:creationId xmlns:a16="http://schemas.microsoft.com/office/drawing/2014/main" id="{47235DF8-49C0-45E9-936D-4B0188EA304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2941" y="1744285"/>
          <a:ext cx="505391" cy="71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620398</xdr:colOff>
      <xdr:row>3</xdr:row>
      <xdr:rowOff>683775</xdr:rowOff>
    </xdr:to>
    <xdr:pic>
      <xdr:nvPicPr>
        <xdr:cNvPr id="8" name="Picture 12">
          <a:extLst>
            <a:ext uri="{FF2B5EF4-FFF2-40B4-BE49-F238E27FC236}">
              <a16:creationId xmlns:a16="http://schemas.microsoft.com/office/drawing/2014/main" id="{68669CA2-305A-4A73-A4E9-59685176DE9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96730" y="1771530"/>
          <a:ext cx="448424"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9</xdr:row>
      <xdr:rowOff>164798</xdr:rowOff>
    </xdr:from>
    <xdr:to>
      <xdr:col>2</xdr:col>
      <xdr:colOff>389721</xdr:colOff>
      <xdr:row>12</xdr:row>
      <xdr:rowOff>208340</xdr:rowOff>
    </xdr:to>
    <xdr:pic>
      <xdr:nvPicPr>
        <xdr:cNvPr id="9" name="Picture 6">
          <a:extLst>
            <a:ext uri="{FF2B5EF4-FFF2-40B4-BE49-F238E27FC236}">
              <a16:creationId xmlns:a16="http://schemas.microsoft.com/office/drawing/2014/main" id="{34230287-6D54-46C9-A809-C72AB726FE0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4367" y="5200348"/>
          <a:ext cx="543260" cy="77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371039</xdr:colOff>
      <xdr:row>15</xdr:row>
      <xdr:rowOff>10728</xdr:rowOff>
    </xdr:to>
    <xdr:pic>
      <xdr:nvPicPr>
        <xdr:cNvPr id="10" name="Picture 12">
          <a:extLst>
            <a:ext uri="{FF2B5EF4-FFF2-40B4-BE49-F238E27FC236}">
              <a16:creationId xmlns:a16="http://schemas.microsoft.com/office/drawing/2014/main" id="{6B5CAB83-A5FA-4926-9BB3-A9B370867FE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707" cy="667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xdr:row>
      <xdr:rowOff>0</xdr:rowOff>
    </xdr:from>
    <xdr:to>
      <xdr:col>1</xdr:col>
      <xdr:colOff>1255359</xdr:colOff>
      <xdr:row>62</xdr:row>
      <xdr:rowOff>857</xdr:rowOff>
    </xdr:to>
    <xdr:pic>
      <xdr:nvPicPr>
        <xdr:cNvPr id="11" name="Picture 8">
          <a:extLst>
            <a:ext uri="{FF2B5EF4-FFF2-40B4-BE49-F238E27FC236}">
              <a16:creationId xmlns:a16="http://schemas.microsoft.com/office/drawing/2014/main" id="{0AB43BC2-2C55-4637-8496-2DCEA564936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8125" y="13925550"/>
          <a:ext cx="1255359" cy="1112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xdr:row>
      <xdr:rowOff>0</xdr:rowOff>
    </xdr:from>
    <xdr:to>
      <xdr:col>1</xdr:col>
      <xdr:colOff>1257502</xdr:colOff>
      <xdr:row>40</xdr:row>
      <xdr:rowOff>105927</xdr:rowOff>
    </xdr:to>
    <xdr:pic>
      <xdr:nvPicPr>
        <xdr:cNvPr id="12" name="Picture 5">
          <a:extLst>
            <a:ext uri="{FF2B5EF4-FFF2-40B4-BE49-F238E27FC236}">
              <a16:creationId xmlns:a16="http://schemas.microsoft.com/office/drawing/2014/main" id="{F948AFA2-62B2-43FC-8ACA-D9637245C1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10706100"/>
          <a:ext cx="1257502" cy="1211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12</xdr:row>
      <xdr:rowOff>114360</xdr:rowOff>
    </xdr:from>
    <xdr:to>
      <xdr:col>2</xdr:col>
      <xdr:colOff>370961</xdr:colOff>
      <xdr:row>15</xdr:row>
      <xdr:rowOff>10806</xdr:rowOff>
    </xdr:to>
    <xdr:pic>
      <xdr:nvPicPr>
        <xdr:cNvPr id="13" name="Picture 12">
          <a:extLst>
            <a:ext uri="{FF2B5EF4-FFF2-40B4-BE49-F238E27FC236}">
              <a16:creationId xmlns:a16="http://schemas.microsoft.com/office/drawing/2014/main" id="{26F2D6FA-0714-4D12-ADF3-3FE4537C901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699" cy="66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0</xdr:row>
      <xdr:rowOff>219075</xdr:rowOff>
    </xdr:from>
    <xdr:to>
      <xdr:col>2</xdr:col>
      <xdr:colOff>847725</xdr:colOff>
      <xdr:row>2</xdr:row>
      <xdr:rowOff>666750</xdr:rowOff>
    </xdr:to>
    <xdr:pic>
      <xdr:nvPicPr>
        <xdr:cNvPr id="2" name="Picture 5">
          <a:extLst>
            <a:ext uri="{FF2B5EF4-FFF2-40B4-BE49-F238E27FC236}">
              <a16:creationId xmlns:a16="http://schemas.microsoft.com/office/drawing/2014/main" id="{54F5079C-2444-443C-BA75-8D0D8B273F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742" y="218017"/>
          <a:ext cx="2192866" cy="145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3</xdr:row>
      <xdr:rowOff>751644</xdr:rowOff>
    </xdr:from>
    <xdr:to>
      <xdr:col>2</xdr:col>
      <xdr:colOff>557453</xdr:colOff>
      <xdr:row>3</xdr:row>
      <xdr:rowOff>754817</xdr:rowOff>
    </xdr:to>
    <xdr:cxnSp macro="">
      <xdr:nvCxnSpPr>
        <xdr:cNvPr id="3" name="Straight Connector 2">
          <a:extLst>
            <a:ext uri="{FF2B5EF4-FFF2-40B4-BE49-F238E27FC236}">
              <a16:creationId xmlns:a16="http://schemas.microsoft.com/office/drawing/2014/main" id="{5282DEBD-459D-4C51-9D73-0802588DE744}"/>
            </a:ext>
          </a:extLst>
        </xdr:cNvPr>
        <xdr:cNvCxnSpPr/>
      </xdr:nvCxnSpPr>
      <xdr:spPr>
        <a:xfrm flipV="1">
          <a:off x="286808" y="2503186"/>
          <a:ext cx="1921645" cy="3173"/>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3</xdr:row>
      <xdr:rowOff>504825</xdr:rowOff>
    </xdr:from>
    <xdr:to>
      <xdr:col>4</xdr:col>
      <xdr:colOff>293366</xdr:colOff>
      <xdr:row>3</xdr:row>
      <xdr:rowOff>513088</xdr:rowOff>
    </xdr:to>
    <xdr:cxnSp macro="">
      <xdr:nvCxnSpPr>
        <xdr:cNvPr id="4" name="Straight Connector 3">
          <a:extLst>
            <a:ext uri="{FF2B5EF4-FFF2-40B4-BE49-F238E27FC236}">
              <a16:creationId xmlns:a16="http://schemas.microsoft.com/office/drawing/2014/main" id="{B7F10BD2-5AEF-49AA-ABEC-5A7117A4D1A3}"/>
            </a:ext>
          </a:extLst>
        </xdr:cNvPr>
        <xdr:cNvCxnSpPr/>
      </xdr:nvCxnSpPr>
      <xdr:spPr>
        <a:xfrm flipV="1">
          <a:off x="286808" y="2258483"/>
          <a:ext cx="3695908" cy="9322"/>
        </a:xfrm>
        <a:prstGeom prst="line">
          <a:avLst/>
        </a:prstGeom>
        <a:ln w="31750">
          <a:solidFill>
            <a:schemeClr val="bg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0</xdr:row>
      <xdr:rowOff>114300</xdr:rowOff>
    </xdr:from>
    <xdr:to>
      <xdr:col>6</xdr:col>
      <xdr:colOff>778936</xdr:colOff>
      <xdr:row>0</xdr:row>
      <xdr:rowOff>789728</xdr:rowOff>
    </xdr:to>
    <xdr:pic>
      <xdr:nvPicPr>
        <xdr:cNvPr id="5" name="Picture 9">
          <a:extLst>
            <a:ext uri="{FF2B5EF4-FFF2-40B4-BE49-F238E27FC236}">
              <a16:creationId xmlns:a16="http://schemas.microsoft.com/office/drawing/2014/main" id="{CB6B8958-2993-4FA0-A0E8-64263D9BF7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347" t="14893" r="1881" b="25555"/>
        <a:stretch>
          <a:fillRect/>
        </a:stretch>
      </xdr:blipFill>
      <xdr:spPr bwMode="auto">
        <a:xfrm>
          <a:off x="5743575" y="114300"/>
          <a:ext cx="1960034" cy="6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22412</xdr:colOff>
      <xdr:row>5</xdr:row>
      <xdr:rowOff>100853</xdr:rowOff>
    </xdr:from>
    <xdr:to>
      <xdr:col>8</xdr:col>
      <xdr:colOff>559910</xdr:colOff>
      <xdr:row>5</xdr:row>
      <xdr:rowOff>100853</xdr:rowOff>
    </xdr:to>
    <xdr:cxnSp macro="">
      <xdr:nvCxnSpPr>
        <xdr:cNvPr id="6" name="Straight Connector 5">
          <a:extLst>
            <a:ext uri="{FF2B5EF4-FFF2-40B4-BE49-F238E27FC236}">
              <a16:creationId xmlns:a16="http://schemas.microsoft.com/office/drawing/2014/main" id="{B8954F7F-74C3-4B4D-A3F5-F44F810FE639}"/>
            </a:ext>
          </a:extLst>
        </xdr:cNvPr>
        <xdr:cNvCxnSpPr/>
      </xdr:nvCxnSpPr>
      <xdr:spPr>
        <a:xfrm>
          <a:off x="258420" y="3447303"/>
          <a:ext cx="8334240" cy="0"/>
        </a:xfrm>
        <a:prstGeom prst="line">
          <a:avLst/>
        </a:prstGeom>
        <a:ln>
          <a:solidFill>
            <a:srgbClr val="00799A"/>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786191</xdr:colOff>
      <xdr:row>2</xdr:row>
      <xdr:rowOff>737810</xdr:rowOff>
    </xdr:from>
    <xdr:to>
      <xdr:col>6</xdr:col>
      <xdr:colOff>113659</xdr:colOff>
      <xdr:row>3</xdr:row>
      <xdr:rowOff>704730</xdr:rowOff>
    </xdr:to>
    <xdr:pic>
      <xdr:nvPicPr>
        <xdr:cNvPr id="7" name="Picture 6">
          <a:extLst>
            <a:ext uri="{FF2B5EF4-FFF2-40B4-BE49-F238E27FC236}">
              <a16:creationId xmlns:a16="http://schemas.microsoft.com/office/drawing/2014/main" id="{146B56F1-72F3-4A8A-83D3-DC7C2FD88C5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32941" y="1744285"/>
          <a:ext cx="505391" cy="71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174172</xdr:colOff>
      <xdr:row>3</xdr:row>
      <xdr:rowOff>16813</xdr:rowOff>
    </xdr:from>
    <xdr:to>
      <xdr:col>6</xdr:col>
      <xdr:colOff>620366</xdr:colOff>
      <xdr:row>3</xdr:row>
      <xdr:rowOff>683775</xdr:rowOff>
    </xdr:to>
    <xdr:pic>
      <xdr:nvPicPr>
        <xdr:cNvPr id="8" name="Picture 12">
          <a:extLst>
            <a:ext uri="{FF2B5EF4-FFF2-40B4-BE49-F238E27FC236}">
              <a16:creationId xmlns:a16="http://schemas.microsoft.com/office/drawing/2014/main" id="{8D0DF199-BFCE-46B2-A2AB-75E003359A8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96730" y="1771530"/>
          <a:ext cx="446313"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1260475</xdr:colOff>
      <xdr:row>14</xdr:row>
      <xdr:rowOff>164798</xdr:rowOff>
    </xdr:from>
    <xdr:to>
      <xdr:col>2</xdr:col>
      <xdr:colOff>389689</xdr:colOff>
      <xdr:row>17</xdr:row>
      <xdr:rowOff>208340</xdr:rowOff>
    </xdr:to>
    <xdr:pic>
      <xdr:nvPicPr>
        <xdr:cNvPr id="9" name="Picture 6">
          <a:extLst>
            <a:ext uri="{FF2B5EF4-FFF2-40B4-BE49-F238E27FC236}">
              <a16:creationId xmlns:a16="http://schemas.microsoft.com/office/drawing/2014/main" id="{DABC1A1C-78AF-4319-AFD7-5F911F08520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94367" y="6190948"/>
          <a:ext cx="545382" cy="770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17</xdr:row>
      <xdr:rowOff>114360</xdr:rowOff>
    </xdr:from>
    <xdr:to>
      <xdr:col>2</xdr:col>
      <xdr:colOff>371071</xdr:colOff>
      <xdr:row>20</xdr:row>
      <xdr:rowOff>9633</xdr:rowOff>
    </xdr:to>
    <xdr:pic>
      <xdr:nvPicPr>
        <xdr:cNvPr id="10" name="Picture 12">
          <a:extLst>
            <a:ext uri="{FF2B5EF4-FFF2-40B4-BE49-F238E27FC236}">
              <a16:creationId xmlns:a16="http://schemas.microsoft.com/office/drawing/2014/main" id="{1E6BFF67-40B3-4DA1-9EB6-C5EB451AA8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6867585"/>
          <a:ext cx="517818" cy="66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45</xdr:row>
      <xdr:rowOff>0</xdr:rowOff>
    </xdr:from>
    <xdr:to>
      <xdr:col>1</xdr:col>
      <xdr:colOff>1255425</xdr:colOff>
      <xdr:row>50</xdr:row>
      <xdr:rowOff>94575</xdr:rowOff>
    </xdr:to>
    <xdr:pic>
      <xdr:nvPicPr>
        <xdr:cNvPr id="11" name="Picture 5">
          <a:extLst>
            <a:ext uri="{FF2B5EF4-FFF2-40B4-BE49-F238E27FC236}">
              <a16:creationId xmlns:a16="http://schemas.microsoft.com/office/drawing/2014/main" id="{2C1142DF-02B0-4C6D-9376-3A1A8BBB0F7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8125" y="10896600"/>
          <a:ext cx="1255425" cy="1201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xdr:row>
      <xdr:rowOff>0</xdr:rowOff>
    </xdr:from>
    <xdr:to>
      <xdr:col>1</xdr:col>
      <xdr:colOff>1255359</xdr:colOff>
      <xdr:row>72</xdr:row>
      <xdr:rowOff>182668</xdr:rowOff>
    </xdr:to>
    <xdr:pic>
      <xdr:nvPicPr>
        <xdr:cNvPr id="12" name="Picture 8">
          <a:extLst>
            <a:ext uri="{FF2B5EF4-FFF2-40B4-BE49-F238E27FC236}">
              <a16:creationId xmlns:a16="http://schemas.microsoft.com/office/drawing/2014/main" id="{7AFB2C31-11E2-4D63-8613-71A99F31539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38125" y="13963650"/>
          <a:ext cx="1255359" cy="1087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1268126</xdr:colOff>
      <xdr:row>17</xdr:row>
      <xdr:rowOff>114360</xdr:rowOff>
    </xdr:from>
    <xdr:to>
      <xdr:col>2</xdr:col>
      <xdr:colOff>372027</xdr:colOff>
      <xdr:row>20</xdr:row>
      <xdr:rowOff>9740</xdr:rowOff>
    </xdr:to>
    <xdr:pic>
      <xdr:nvPicPr>
        <xdr:cNvPr id="13" name="Picture 12">
          <a:extLst>
            <a:ext uri="{FF2B5EF4-FFF2-40B4-BE49-F238E27FC236}">
              <a16:creationId xmlns:a16="http://schemas.microsoft.com/office/drawing/2014/main" id="{522E9A77-2E19-41E1-B9DD-2A9DB41C9F0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03076" y="5876985"/>
          <a:ext cx="515699" cy="667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oogle%20Drive\NABERS\16.%20Schools\Calculators\Rating%20Predition%20Tool_Schools_v1.2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School"/>
      <sheetName val="Climate by postcode"/>
      <sheetName val="Correction Factors"/>
      <sheetName val="SGEx"/>
    </sheetNames>
    <sheetDataSet>
      <sheetData sheetId="0"/>
      <sheetData sheetId="1"/>
      <sheetData sheetId="2"/>
      <sheetData sheetId="3"/>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F384CF8-8350-4358-9C54-5436A1109B41}" name="tbl_Office_Multi" displayName="tbl_Office_Multi" ref="A3:IM6" totalsRowShown="0" headerRowDxfId="2207" dataDxfId="2206" headerRowBorderDxfId="2204" tableBorderDxfId="2205">
  <autoFilter ref="A3:IM6" xr:uid="{912DCB91-0EE1-4B70-BDB9-4E27D3EB38A8}"/>
  <tableColumns count="247">
    <tableColumn id="222" xr3:uid="{32A96521-F3B9-4A62-8A1F-ACB67732C156}" name="Target Energy" dataDxfId="2203"/>
    <tableColumn id="223" xr3:uid="{852F2FE9-8398-4F6A-B30C-A98BB1A7BA9A}" name="Target Water" dataDxfId="2202"/>
    <tableColumn id="235" xr3:uid="{8944D24E-C9B5-44E1-AE4A-17B9EFC12CA6}" name="Rating Type" dataDxfId="2201"/>
    <tableColumn id="1" xr3:uid="{4243B779-C92C-47A0-8A35-393AED24F9A7}" name="Postcode" dataDxfId="2200"/>
    <tableColumn id="2" xr3:uid="{ECC60488-EE61-41C4-A23D-A14E2DAFB9FD}" name="Hrs" dataDxfId="2199"/>
    <tableColumn id="3" xr3:uid="{139D49A7-3240-4395-9455-4A960866716A}" name="NLA" dataDxfId="2198"/>
    <tableColumn id="4" xr3:uid="{120C398C-7030-4B3F-8641-47C80621B15C}" name="Comp" dataDxfId="2197"/>
    <tableColumn id="141" xr3:uid="{B5649463-2903-4F1B-A394-774E1B866258}" name="Electricity (%)" dataDxfId="2196"/>
    <tableColumn id="142" xr3:uid="{69B6F766-C863-4E8F-A713-320DE0660AFA}" name="Gas (%)" dataDxfId="2195"/>
    <tableColumn id="143" xr3:uid="{2996589C-C6AB-438C-8D8C-560C66BFF0AA}" name="Diesel (%)" dataDxfId="2194"/>
    <tableColumn id="224" xr3:uid="{248E3666-1BD0-48DB-9AD1-66A8DA7F894E}" name="Predicted NGE" dataDxfId="2193">
      <calculatedColumnFormula>IF(tbl_Office_Multi[[#This Row],[Target Energy]]&gt;5,"N/A",tbl_Office_Multi[[#This Row],[Target Max Energy NGE]])</calculatedColumnFormula>
    </tableColumn>
    <tableColumn id="174" xr3:uid="{2A1EEFFF-2658-4AA1-88B9-9A4889C84475}" name="Predicted GE" dataDxfId="2192">
      <calculatedColumnFormula>tbl_Office_Multi[[#This Row],[Target Max GE]]</calculatedColumnFormula>
    </tableColumn>
    <tableColumn id="225" xr3:uid="{A8FF087A-F3FA-4CBC-92DC-9BB9B986F485}" name="Max Emissions at Target" dataDxfId="2191">
      <calculatedColumnFormula>tbl_Office_Multi[[#This Row],[Target Max CO2]]</calculatedColumnFormula>
    </tableColumn>
    <tableColumn id="254" xr3:uid="{DA9CC47C-0FCC-4E93-BCBF-06EFA144C782}" name="Max Emissions Intensity at Target" dataDxfId="2190">
      <calculatedColumnFormula>tbl_Office_Multi[[#This Row],[Target Max GE]]</calculatedColumnFormula>
    </tableColumn>
    <tableColumn id="255" xr3:uid="{961EA803-B285-4FAE-A711-4CACB15E988B}" name="Max Energy Intensity at Target" dataDxfId="2189">
      <calculatedColumnFormula>tbl_Office_Multi[[#This Row],[Target Max Energy Intensity]]</calculatedColumnFormula>
    </tableColumn>
    <tableColumn id="226" xr3:uid="{04C946F5-A3F2-446F-9CA6-40795D2A1CE2}" name="Actual Scope 1,2&amp;3 at Target" dataDxfId="2188">
      <calculatedColumnFormula>tbl_Office_Multi[[#This Row],[Target Scopes 1,2&amp;3]]</calculatedColumnFormula>
    </tableColumn>
    <tableColumn id="227" xr3:uid="{2D2BBF04-0E57-476A-8810-FADBF510F284}" name="Actual Scope 1&amp;2 at Targe" dataDxfId="2187">
      <calculatedColumnFormula>tbl_Office_Multi[[#This Row],[Target Scopes 1&amp;2]]</calculatedColumnFormula>
    </tableColumn>
    <tableColumn id="228" xr3:uid="{7237C944-EA61-4FDC-B163-8EA65C83F28D}" name="Max Elec (kWh) at Target" dataDxfId="2186">
      <calculatedColumnFormula>tbl_Office_Multi[[#This Row],[Target Max Elec (kWh)]]</calculatedColumnFormula>
    </tableColumn>
    <tableColumn id="229" xr3:uid="{DC0F9923-FD52-4926-B87F-429E49BC847F}" name="Max Gas (MJ) at Target" dataDxfId="2185">
      <calculatedColumnFormula>tbl_Office_Multi[[#This Row],[Target Max Gas (MJ)]]</calculatedColumnFormula>
    </tableColumn>
    <tableColumn id="230" xr3:uid="{214C4418-17F6-4779-801E-C65BF4845F88}" name="Max Diesel (L) at Target" dataDxfId="2184">
      <calculatedColumnFormula>tbl_Office_Multi[[#This Row],[Target Max Diesel (L)]]</calculatedColumnFormula>
    </tableColumn>
    <tableColumn id="232" xr3:uid="{BACD1C2A-51D3-4428-A156-80FBA48F9AFE}" name="Max Water (kL) at Target" dataDxfId="2183">
      <calculatedColumnFormula>tbl_Office_Multi[[#This Row],[Max Water]]</calculatedColumnFormula>
    </tableColumn>
    <tableColumn id="233" xr3:uid="{A8BB5309-DFA6-4EA8-B6B2-256F889493C3}" name="Max Water Intensity at Target" dataDxfId="2182">
      <calculatedColumnFormula>tbl_Office_Multi[[#This Row],[max w]]</calculatedColumnFormula>
    </tableColumn>
    <tableColumn id="12" xr3:uid="{124F3E4E-562F-44B9-8FAF-E7554E1F8245}" name="Electricity" dataDxfId="2181"/>
    <tableColumn id="13" xr3:uid="{9ACBB3D7-7B06-4209-81A7-369A20DB420C}" name="Gas" dataDxfId="2180"/>
    <tableColumn id="14" xr3:uid="{A558EDF9-A809-4607-93E9-AC1C901D089D}" name="Diesel" dataDxfId="2179"/>
    <tableColumn id="15" xr3:uid="{C6839103-4868-420A-892D-4BD60687DC80}" name="GP" dataDxfId="2178"/>
    <tableColumn id="17" xr3:uid="{075D6C8F-8D61-4B94-B84E-DB220B10DDE9}" name="Water" dataDxfId="2177"/>
    <tableColumn id="18" xr3:uid="{510B1D2C-BA37-47C9-A020-98511552B204}" name="RW" dataDxfId="2176"/>
    <tableColumn id="19" xr3:uid="{EE883194-F7EC-4D75-A7E9-DD0D8C8857F7}" name="State" dataDxfId="2175">
      <calculatedColumnFormula>INDEX(tbl_Climate_Lookup[],MATCH(tbl_Office_Multi[[Postcode]:[Postcode]],tbl_Climate_Lookup[[Postcode]:[Postcode]],0),MATCH(tbl_Office_Multi[[#Headers],[State]],tbl_Climate_Lookup[#Headers],0))</calculatedColumnFormula>
    </tableColumn>
    <tableColumn id="20" xr3:uid="{8D3CA3AE-041A-48BB-8398-80D29AD6B0BB}" name="Climate zone" dataDxfId="2174">
      <calculatedColumnFormula>INDEX(tbl_Climate_Lookup[],MATCH(tbl_Office_Multi[[Postcode]:[Postcode]],tbl_Climate_Lookup[[Postcode]:[Postcode]],0),MATCH(tbl_Office_Multi[[#Headers],[Climate zone]],tbl_Climate_Lookup[#Headers],0))</calculatedColumnFormula>
    </tableColumn>
    <tableColumn id="21" xr3:uid="{F83A793D-764A-49D0-B29A-2DEF5531C061}" name="HDD" dataDxfId="2173">
      <calculatedColumnFormula>INDEX(tbl_Climate_Lookup[],MATCH(tbl_Office_Multi[[Postcode]:[Postcode]],tbl_Climate_Lookup[[Postcode]:[Postcode]],0),MATCH(tbl_Office_Multi[[#Headers],[HDD]],tbl_Climate_Lookup[#Headers],0))</calculatedColumnFormula>
    </tableColumn>
    <tableColumn id="22" xr3:uid="{C8CB0BB2-AE17-47AA-94E1-E932F2D1DD27}" name="CDD" dataDxfId="2172">
      <calculatedColumnFormula>INDEX(tbl_Climate_Lookup[],MATCH(tbl_Office_Multi[[Postcode]:[Postcode]],tbl_Climate_Lookup[[Postcode]:[Postcode]],0),MATCH(tbl_Office_Multi[[#Headers],[CDD]],tbl_Climate_Lookup[#Headers],0))</calculatedColumnFormula>
    </tableColumn>
    <tableColumn id="237" xr3:uid="{97F2518B-7863-4E10-AEF1-9DCEFF447DFE}" name="SGEekWh" dataDxfId="2171">
      <calculatedColumnFormula>INDEX(tbl_SGE_Office_2020[],MATCH(tbl_Office_Multi[[State]:[State]],tbl_SGE_Office_2020[[State]:[State]],0),MATCH(tbl_Office_Multi[[#Headers],[SGEekWh]],tbl_SGE_Office_2020[#Headers],0))</calculatedColumnFormula>
    </tableColumn>
    <tableColumn id="238" xr3:uid="{7B43A4C9-92FB-486A-83CB-DD4FD6F6ECFC}" name="SGEgkWh" dataDxfId="2170">
      <calculatedColumnFormula>INDEX(tbl_SGE_Office_2020[],MATCH(tbl_Office_Multi[[State]:[State]],tbl_SGE_Office_2020[[State]:[State]],0),MATCH(tbl_Office_Multi[[#Headers],[SGEgkWh]],tbl_SGE_Office_2020[#Headers],0))</calculatedColumnFormula>
    </tableColumn>
    <tableColumn id="239" xr3:uid="{E733F5FC-C2A4-4032-BA6D-743C29A633AA}" name="SGEdkWh" dataDxfId="2169">
      <calculatedColumnFormula>INDEX(tbl_SGE_Office_2020[],MATCH(tbl_Office_Multi[[State]:[State]],tbl_SGE_Office_2020[[State]:[State]],0),MATCH(tbl_Office_Multi[[#Headers],[SGEdkWh]],tbl_SGE_Office_2020[#Headers],0))</calculatedColumnFormula>
    </tableColumn>
    <tableColumn id="25" xr3:uid="{1B0E703C-15D1-481C-8C1E-3A2DF52B4B1C}" name="SGEe" dataDxfId="2168">
      <calculatedColumnFormula>tbl_Office_Multi[[#This Row],[SGEekWh]]</calculatedColumnFormula>
    </tableColumn>
    <tableColumn id="26" xr3:uid="{8ADD590B-3457-49BC-9D5D-FE2D9AFE4705}" name="SGEg" dataDxfId="2167">
      <calculatedColumnFormula>tbl_Office_Multi[[#This Row],[SGEgkWh]]/tbl_Office_Multi[[#This Row],[CFelec]]</calculatedColumnFormula>
    </tableColumn>
    <tableColumn id="27" xr3:uid="{D006C7BD-B31B-4D4E-BDBD-CA214D06D0CE}" name="SGEd" dataDxfId="2166">
      <calculatedColumnFormula>tbl_Office_Multi[[#This Row],[SGEdkWh]]/tbl_Office_Multi[[#This Row],[CFelec]]*tbl_Office_Multi[[#This Row],[CFdiesel]]</calculatedColumnFormula>
    </tableColumn>
    <tableColumn id="145" xr3:uid="{161A285E-7CEA-45BF-8120-CD46C42AE893}" name="CFelec" dataDxfId="2165">
      <calculatedColumnFormula>INDEX(tbl_Conversion_Factors[[Conversion Factors]:[Conversion Factors]],MATCH(tbl_Office_Multi[[#Headers],[CFelec]],tbl_Conversion_Factors[[Reference]:[Reference]],0))</calculatedColumnFormula>
    </tableColumn>
    <tableColumn id="146" xr3:uid="{74273D8C-5E5C-4501-BA21-510461EB64C3}" name="CFdiesel" dataDxfId="2164">
      <calculatedColumnFormula>INDEX(tbl_Conversion_Factors[[Conversion Factors]:[Conversion Factors]],MATCH(tbl_Office_Multi[[#Headers],[CFdiesel]],tbl_Conversion_Factors[[Reference]:[Reference]],0))</calculatedColumnFormula>
    </tableColumn>
    <tableColumn id="151" xr3:uid="{B87E9B83-5A44-42E2-8D4F-6E6C26B8164B}" name="SGEeMJ" dataDxfId="2163">
      <calculatedColumnFormula>tbl_Office_Multi[[#This Row],[SGEe]]/tbl_Office_Multi[[#This Row],[CFelec]]</calculatedColumnFormula>
    </tableColumn>
    <tableColumn id="152" xr3:uid="{0033654B-25EF-49D5-8DB2-0B9FE46CE62A}" name="SGEdMJ" dataDxfId="2162">
      <calculatedColumnFormula>tbl_Office_Multi[[#This Row],[SGEd]]/tbl_Office_Multi[[#This Row],[CFdiesel]]</calculatedColumnFormula>
    </tableColumn>
    <tableColumn id="154" xr3:uid="{E3A70847-A0E6-425A-A68B-BFA660DB11FB}" name="EffGHGMJ" dataDxfId="2161">
      <calculatedColumnFormula>IF(SUM(tbl_Office_Multi[[#This Row],[Electricity (%)]:[Diesel (%)]])=1,
SUM(tbl_Office_Multi[[#This Row],[Electricity (%)]]*tbl_Office_Multi[[#This Row],[SGEeMJ]],
tbl_Office_Multi[[#This Row],[Gas (%)]]*tbl_Office_Multi[[#This Row],[SGEg]],
tbl_Office_Multi[[#This Row],[Diesel (%)]]*tbl_Office_Multi[[#This Row],[SGEdMJ]]),
0)</calculatedColumnFormula>
    </tableColumn>
    <tableColumn id="244" xr3:uid="{A3E99C23-81E6-4FC3-85E2-98BE787A08FF}" name="SGEe Scopes 1,2&amp;3" dataDxfId="2160">
      <calculatedColumnFormula>INDEX(tbl_NGA_Factors_2021[],MATCH(tbl_Office_Multi[[State]:[State]],tbl_NGA_Factors_2021[[State]:[State]],0),MATCH(tbl_Office_Multi[[#Headers],[SGEe Scopes 1,2&amp;3]],tbl_NGA_Factors_2021[#Headers],0))</calculatedColumnFormula>
    </tableColumn>
    <tableColumn id="245" xr3:uid="{E6A99A4B-A104-4D03-A760-F5FA5A6CA233}" name="SGEg Scopes 1,2&amp;3" dataDxfId="2159">
      <calculatedColumnFormula>INDEX(tbl_NGA_Factors_2021[],MATCH(tbl_Office_Multi[[State]:[State]],tbl_NGA_Factors_2021[[State]:[State]],0),MATCH(tbl_Office_Multi[[#Headers],[SGEg Scopes 1,2&amp;3]],tbl_NGA_Factors_2021[#Headers],0))</calculatedColumnFormula>
    </tableColumn>
    <tableColumn id="246" xr3:uid="{325C654B-5E81-442D-A539-43F0CC19B6A6}" name="SGEd Scopes 1,2&amp;3" dataDxfId="2158">
      <calculatedColumnFormula>INDEX(tbl_NGA_Factors_2021[],MATCH(tbl_Office_Multi[[State]:[State]],tbl_NGA_Factors_2021[[State]:[State]],0),MATCH(tbl_Office_Multi[[#Headers],[SGEd Scopes 1,2&amp;3]],tbl_NGA_Factors_2021[#Headers],0))</calculatedColumnFormula>
    </tableColumn>
    <tableColumn id="248" xr3:uid="{945A38B3-9D1D-4EE9-BCBB-7A99E6C6F4C7}" name="SGEe Scopes 1&amp;2" dataDxfId="2157">
      <calculatedColumnFormula>INDEX(tbl_NGA_Factors_2021[],MATCH(tbl_Office_Multi[[State]:[State]],tbl_NGA_Factors_2021[[State]:[State]],0),MATCH(tbl_Office_Multi[[#Headers],[SGEe Scopes 1&amp;2]],tbl_NGA_Factors_2021[#Headers],0))</calculatedColumnFormula>
    </tableColumn>
    <tableColumn id="249" xr3:uid="{775BBA06-8171-49AC-8022-0F433ED8B519}" name="SGEg Scopes 1&amp;2" dataDxfId="2156">
      <calculatedColumnFormula>INDEX(tbl_NGA_Factors_2021[],MATCH(tbl_Office_Multi[[State]:[State]],tbl_NGA_Factors_2021[[State]:[State]],0),MATCH(tbl_Office_Multi[[#Headers],[SGEg Scopes 1&amp;2]],tbl_NGA_Factors_2021[#Headers],0))</calculatedColumnFormula>
    </tableColumn>
    <tableColumn id="250" xr3:uid="{7BA846A5-C42E-42D7-B6F1-D9AD07E7C6D1}" name="SGEd Scopes 1&amp;2" dataDxfId="2155">
      <calculatedColumnFormula>INDEX(tbl_NGA_Factors_2021[],MATCH(tbl_Office_Multi[[State]:[State]],tbl_NGA_Factors_2021[[State]:[State]],0),MATCH(tbl_Office_Multi[[#Headers],[SGEd Scopes 1&amp;2]],tbl_NGA_Factors_2021[#Headers],0))</calculatedColumnFormula>
    </tableColumn>
    <tableColumn id="28" xr3:uid="{5F071406-CB31-43E6-8BFB-E7BE06BEEBE1}" name="h" dataDxfId="2154">
      <calculatedColumnFormula>MIN(tbl_Office_Multi[[#This Row],[Hrs]]+10,168)</calculatedColumnFormula>
    </tableColumn>
    <tableColumn id="34" xr3:uid="{6932D167-014A-4C9B-9C16-1C6F72CB2FE8}" name="f_basebuilding" dataDxfId="2153">
      <calculatedColumnFormula>1/(0.38+0.0116*tbl_Office_Multi[[#This Row],[h]])</calculatedColumnFormula>
    </tableColumn>
    <tableColumn id="35" xr3:uid="{FC4BCB78-B342-4463-9BFD-168EE382703F}" name="f_tenancy" dataDxfId="2152">
      <calculatedColumnFormula>1/(0.38+0.0105*tbl_Office_Multi[[#This Row],[h]])</calculatedColumnFormula>
    </tableColumn>
    <tableColumn id="206" xr3:uid="{C0326A3C-BFB8-4D6D-A6EF-2884AE23838B}" name="Dequip" dataDxfId="2151">
      <calculatedColumnFormula>0.2*tbl_Office_Multi[[#This Row],[Comp]]/tbl_Office_Multi[[#This Row],[NLA]]</calculatedColumnFormula>
    </tableColumn>
    <tableColumn id="214" xr3:uid="{F7E262E2-2A38-4ED1-893E-9CF23C71B4DC}" name="NGEat_5_stars" dataDxfId="2150">
      <calculatedColumnFormula>(5-tbl_Office_Multi[[#This Row],[A]]-0.499999)/tbl_Office_Multi[[#This Row],[B]]</calculatedColumnFormula>
    </tableColumn>
    <tableColumn id="58" xr3:uid="{E42E8E25-2D44-43C6-B1A4-5FB4AD5D4734}" name="GEat_5_stars" dataDxfId="2149">
      <calculatedColumnFormula>IF(tbl_Office_Multi[[#This Row],[Rating Type]]="Base Building",tbl_Office_Multi[[#This Row],[NGEat_5_stars]]/tbl_Office_Multi[[#This Row],[f_basebuilding]]-tbl_Office_Multi[[#This Row],[GEcorrclimate]],
IF(tbl_Office_Multi[[#This Row],[Rating Type]]="Tenancy",tbl_Office_Multi[[#This Row],[NGEat_5_stars]]/tbl_Office_Multi[[#This Row],[f_tenancy]]-tbl_Office_Multi[[#This Row],[GEcorrtenancy]],
IF(tbl_Office_Multi[[#This Row],[Rating Type]]="Whole Building",(tbl_Office_Multi[[#This Row],[NGEat_5_stars]]-tbl_Office_Multi[[#This Row],[f_tenancy]]*tbl_Office_Multi[[#This Row],[GEcorrtenancy]]-tbl_Office_Multi[[#This Row],[f_basebuilding]]*tbl_Office_Multi[[#This Row],[GEcorrclimate]])/((tbl_Office_Multi[[#This Row],[f_basebuilding]]+tbl_Office_Multi[[#This Row],[f_tenancy]])/2),0)))</calculatedColumnFormula>
    </tableColumn>
    <tableColumn id="236" xr3:uid="{A75E8647-4831-472D-9714-5016326D49FC}" name="GEcorrtenancy" dataDxfId="2148">
      <calculatedColumnFormula>4000*tbl_Office_Multi[[#This Row],[SGEe]]*(0.008-tbl_Office_Multi[[#This Row],[Dequip]])</calculatedColumnFormula>
    </tableColumn>
    <tableColumn id="36" xr3:uid="{818D6F74-8130-4DD9-8232-29F741AE8333}" name="GEcorrclimate" dataDxfId="2147">
      <calculatedColumnFormula>SUM(tbl_Office_Multi[[#This Row],[4.12*SGEgas]],
tbl_Office_Multi[[#This Row],[43.6*SGEelec]],
tbl_Office_Multi[[#This Row],[-0.0016*SGEgas*HDD/0.23]],
tbl_Office_Multi[[#This Row],[-0.091*SGEelec*CDD/0.94]],
tbl_Office_Multi[[#This Row],[max(0,0.062*SGEelec*(CDD-400)/0.94)]])</calculatedColumnFormula>
    </tableColumn>
    <tableColumn id="10" xr3:uid="{0F24948A-854D-4C80-9458-B9F26FD6B6E6}" name="4.12*SGEgas" dataDxfId="2146">
      <calculatedColumnFormula>4.12*IF(tbl_Office_Multi[[#This Row],[State]]="TAS",0.75/tbl_Office_Multi[[#This Row],[CFelec]],tbl_Office_Multi[[#This Row],[SGEg]])*3.6</calculatedColumnFormula>
    </tableColumn>
    <tableColumn id="211" xr3:uid="{1DD41B2A-1C0E-43E6-B84D-A1122197056D}" name="43.6*SGEelec" dataDxfId="2145">
      <calculatedColumnFormula>43.6*tbl_Office_Multi[[#This Row],[SGEe]]</calculatedColumnFormula>
    </tableColumn>
    <tableColumn id="212" xr3:uid="{045F7E0C-D098-4E14-A16E-DB10B5A6979E}" name="-0.0016*SGEgas*HDD/0.23" dataDxfId="2144">
      <calculatedColumnFormula>-0.0016*IF(tbl_Office_Multi[[#This Row],[State]]="TAS",0.75/tbl_Office_Multi[[#This Row],[CFelec]],tbl_Office_Multi[[#This Row],[SGEg]])*tbl_Office_Multi[[#This Row],[CFelec]]*tbl_Office_Multi[[#This Row],[HDD]]/0.23</calculatedColumnFormula>
    </tableColumn>
    <tableColumn id="210" xr3:uid="{33403FD2-7BCE-44D5-B90E-73A42CCB7CBB}" name="-0.091*SGEelec*CDD/0.94" dataDxfId="2143">
      <calculatedColumnFormula>-0.091*tbl_Office_Multi[[#This Row],[SGEe]]*tbl_Office_Multi[[#This Row],[CDD]]/0.94</calculatedColumnFormula>
    </tableColumn>
    <tableColumn id="213" xr3:uid="{B320A37C-3A3E-46C6-B136-3222E755A4B5}" name="max(0,0.062*SGEelec*(CDD-400)/0.94)" dataDxfId="2142">
      <calculatedColumnFormula>MAX(0,0.062*tbl_Office_Multi[[#This Row],[SGEe]]*(tbl_Office_Multi[[#This Row],[CDD]]-400)/0.94)</calculatedColumnFormula>
    </tableColumn>
    <tableColumn id="45" xr3:uid="{52AEDBB3-B754-45F1-958C-5B543854D573}" name="A" dataDxfId="2141">
      <calculatedColumnFormula>INDEX(tbl_Office_Coefficients[],MATCH(tbl_Office_Multi[[#This Row],[State]],tbl_Office_Coefficients[[State]:[State]],0),MATCH(tbl_Office_Multi[[#This Row],[Rating Type]]&amp;" "&amp;tbl_Office_Multi[[#Headers],[A]],tbl_Office_Coefficients[#Headers],0))</calculatedColumnFormula>
    </tableColumn>
    <tableColumn id="175" xr3:uid="{55DD229F-65AD-4C7B-AD57-5CA83E429826}" name="B" dataDxfId="2140">
      <calculatedColumnFormula>INDEX(tbl_Office_Coefficients[],MATCH(tbl_Office_Multi[[#This Row],[State]],tbl_Office_Coefficients[[State]:[State]],0),MATCH(tbl_Office_Multi[[#This Row],[Rating Type]]&amp;" "&amp;tbl_Office_Multi[[#Headers],[B]],tbl_Office_Coefficients[#Headers],0))</calculatedColumnFormula>
    </tableColumn>
    <tableColumn id="172" xr3:uid="{E585F95B-1836-457C-A948-C3E2A73E5847}" name="AEnergybeyond5stars" dataDxfId="2139">
      <calculatedColumnFormula>Office_C_E_A_beyond_5_stars</calculatedColumnFormula>
    </tableColumn>
    <tableColumn id="59" xr3:uid="{3E7EEBB2-695B-416E-B988-7FDB484B1521}" name="BEnergybeyond5stars gasMJ" dataDxfId="2138">
      <calculatedColumnFormula>1/(-tbl_Office_Multi[[#This Row],[GEat_5_stars]]/2)</calculatedColumnFormula>
    </tableColumn>
    <tableColumn id="187" xr3:uid="{F22D83F5-F79F-4282-B10E-88F033375867}" name="w1" dataDxfId="2137">
      <calculatedColumnFormula>IF(tbl_Office_Multi[[#This Row],[Target Water]]&lt;=5,
tbl_Office_Multi[[#This Row],[M star]]-((tbl_Office_Multi[[#This Row],[Target Water]]-IF(tbl_Office_Multi[[#This Row],[Target Water]]=5,Office_C_W_R_star_rating_offset_at_5_stars,Office_C_W_R_star_rating_offset))/Office_C_W_Median_Rating-1)*(tbl_Office_Multi[[#This Row],[M star]]-tbl_Office_Multi[[#This Row],[Alpha star]]),
"N/A")</calculatedColumnFormula>
    </tableColumn>
    <tableColumn id="188" xr3:uid="{E8A0E5A1-0177-4DC7-A398-EC1B1C2BF656}" name="w2" dataDxfId="2136">
      <calculatedColumnFormula>IF(tbl_Office_Multi[[#This Row],[Target Water]]&lt;=5,
Office_C_W_M_star_Intercept+Office_C_W_Alpha_Star_Hrs_Coefficient*(tbl_Office_Multi[[#This Row],[Hrs]]-Office_C_W_Hrs_Offset)-Office_C_W2_Hrs_Ratio*((tbl_Office_Multi[[#This Row],[Target Water]]-IF(tbl_Office_Multi[[#This Row],[Target Water]]=5,Office_C_W_R_star_rating_offset_at_5_stars,Office_C_W_R_star_rating_offset))/Office_C_W_Median_Rating-1),
"N/A")</calculatedColumnFormula>
    </tableColumn>
    <tableColumn id="53" xr3:uid="{4ACD5CC9-B9A5-4CD9-B27B-F1AC806BB9B8}" name="Alpha star" dataDxfId="2135">
      <calculatedColumnFormula>Office_C_W_Alpha_Star_Intercept+Office_C_W_Alpha_Star_Hrs_Coefficient*(tbl_Office_Multi[[#This Row],[Hrs]]-Office_C_W_Hrs_Offset)</calculatedColumnFormula>
    </tableColumn>
    <tableColumn id="186" xr3:uid="{16A1535B-AFD5-4AE4-BADF-BCF4940DE51C}" name="M star" dataDxfId="2134">
      <calculatedColumnFormula>(tbl_Office_Multi[[#This Row],[M]]-Office_C_W_M_star_Intercept)*(1+Office_C_W_M_star_Hrs_Coefficient*(tbl_Office_Multi[[#This Row],[Hrs]]-Office_C_W_Hrs_Offset))+Office_C_W_Alpha_Star_Hrs_Coefficient*(tbl_Office_Multi[[#This Row],[Hrs]]-Office_C_W_Hrs_Offset)+Office_C_W_M_star_Intercept</calculatedColumnFormula>
    </tableColumn>
    <tableColumn id="52" xr3:uid="{5EFBDD68-D871-44D1-A24B-B3173251A3F6}" name="M" dataDxfId="2133">
      <calculatedColumnFormula>IF(tbl_Office_Multi[[#This Row],[CDD]]&lt;1100,tbl_Office_Multi[[#This Row],[0.64+0.0009*CDD]],tbl_Office_Multi[[#This Row],[1.63+0.00023*CDD]])</calculatedColumnFormula>
    </tableColumn>
    <tableColumn id="54" xr3:uid="{8C04AB9F-4E68-4A1B-AA37-47C650FF2DE8}" name="0.64+0.0009*CDD" dataDxfId="2132">
      <calculatedColumnFormula>Office_C_W_Low_CDD_Intercept+Office_C_W_Low_CDD_Coefficient*tbl_Office_Multi[[#This Row],[CDD]]</calculatedColumnFormula>
    </tableColumn>
    <tableColumn id="55" xr3:uid="{334FB1B5-9C52-4F30-8C85-0879961AD367}" name="1.63+0.00023*CDD" dataDxfId="2131">
      <calculatedColumnFormula>Office_C_W_High_CDD_Intercept+Office_C_W_High_CDD_coefficient*tbl_Office_Multi[[#This Row],[CDD]]</calculatedColumnFormula>
    </tableColumn>
    <tableColumn id="57" xr3:uid="{F1DB7F2D-C009-48F2-886A-A5AC436CF6A8}" name="wat_5stars" dataDxfId="2130">
      <calculatedColumnFormula>Office_C_W_M_star_Intercept+Office_C_W_Alpha_Star_Hrs_Coefficient*(tbl_Office_Multi[[#This Row],[Hrs]]-Office_C_W_Hrs_Offset)-Office_C_W2_Hrs_Ratio*(Office_C_W_R_at_5_stars/Office_C_W_Median_Rating-1)</calculatedColumnFormula>
    </tableColumn>
    <tableColumn id="8" xr3:uid="{C8B2DFE0-11FF-4FB0-A6A8-E5362E89C7BD}" name="AWaterbeyond5stars" dataDxfId="2129">
      <calculatedColumnFormula>Office_C_W_A_beyond_5_stars</calculatedColumnFormula>
    </tableColumn>
    <tableColumn id="9" xr3:uid="{E723E94E-A06D-43D3-88DD-9FAE07C06274}" name="BWaterbeyond5stars" dataDxfId="2128">
      <calculatedColumnFormula>-2/tbl_Office_Multi[[#This Row],[wat_5stars]]</calculatedColumnFormula>
    </tableColumn>
    <tableColumn id="61" xr3:uid="{0966BB0B-A83F-40A2-BC6F-DC6A59F9AEAD}" name="M star - w" dataDxfId="2127">
      <calculatedColumnFormula>tbl_Office_Multi[[#This Row],[M star]]-tbl_Office_Multi[[#This Row],[w (with recyc)]]</calculatedColumnFormula>
    </tableColumn>
    <tableColumn id="62" xr3:uid="{754A9E5C-DA4F-4CFF-85EE-A2346B85D719}" name="M star - alpha star" dataDxfId="2126">
      <calculatedColumnFormula>tbl_Office_Multi[[#This Row],[M star]]-tbl_Office_Multi[[#This Row],[Alpha star]]</calculatedColumnFormula>
    </tableColumn>
    <tableColumn id="63" xr3:uid="{4F68FA80-E0D0-4C9E-92AE-59D35DDC3CD1}" name="(0.64+0.0016(h-55)-w)/0.29" dataDxfId="2125">
      <calculatedColumnFormula>(Office_C_W_M_star_Intercept+Office_C_W_Alpha_Star_Hrs_Coefficient*(tbl_Office_Multi[[#This Row],[Hrs]]-Office_C_W_Hrs_Offset)-tbl_Office_Multi[[#This Row],[w (with recyc)]])/Office_C_W2_Hrs_Ratio</calculatedColumnFormula>
    </tableColumn>
    <tableColumn id="234" xr3:uid="{996C3F66-EA3F-423B-A540-532807532C8D}" name="Target Max Energy NGE" dataDxfId="2124">
      <calculatedColumnFormula>(tbl_Office_Multi[[#This Row],[Target Energy]]-Office_C_Reverse_Star_Band_Residual_Adjustment-tbl_Office_Multi[[#This Row],[A]])/tbl_Office_Multi[[#This Row],[B]]</calculatedColumnFormula>
    </tableColumn>
    <tableColumn id="60" xr3:uid="{D29F4EA5-676B-40BF-92D4-B7DB1E4ED97E}" name="Target Max GE" dataDxfId="2123">
      <calculatedColumnFormula>IF(tbl_Office_Multi[[#This Row],[Target Energy]]&gt;5,
(tbl_Office_Multi[[#This Row],[Target Energy]]-Hotel_C_Reverse_Star_Band_Residual_Adjustment-tbl_Office_Multi[[#This Row],[AEnergybeyond5stars]])/tbl_Office_Multi[[#This Row],[BEnergybeyond5stars gasMJ]],
IF(tbl_Office_Multi[[#This Row],[Rating Type]]="Base Building",
tbl_Office_Multi[[#This Row],[Target Max Energy NGE]]/tbl_Office_Multi[[#This Row],[f_basebuilding]]-tbl_Office_Multi[[#This Row],[GEcorrclimate]],
IF(tbl_Office_Multi[[#This Row],[Rating Type]]="Tenancy",
tbl_Office_Multi[[#This Row],[Target Max Energy NGE]]/tbl_Office_Multi[[#This Row],[f_tenancy]]-tbl_Office_Multi[[#This Row],[GEcorrtenancy]],
IF(tbl_Office_Multi[[#This Row],[Rating Type]]="Whole Building",
(tbl_Office_Multi[[#This Row],[Target Max Energy NGE]]-tbl_Office_Multi[[#This Row],[f_tenancy]]*tbl_Office_Multi[[#This Row],[GEcorrtenancy]]-tbl_Office_Multi[[#This Row],[f_basebuilding]]*tbl_Office_Multi[[#This Row],[GEcorrclimate]])/((tbl_Office_Multi[[#This Row],[f_basebuilding]]+tbl_Office_Multi[[#This Row],[f_tenancy]])/2),
0))))</calculatedColumnFormula>
    </tableColumn>
    <tableColumn id="166" xr3:uid="{7B36470D-DB02-4E71-90CD-B68032180339}" name="Target Max CO2" dataDxfId="2122">
      <calculatedColumnFormula>tbl_Office_Multi[[#This Row],[Target Max GE]]*tbl_Office_Multi[[#This Row],[NLA]]</calculatedColumnFormula>
    </tableColumn>
    <tableColumn id="167" xr3:uid="{C83A424C-70B7-440D-AFE2-3170BA3835E2}" name="Target Max Energy (MJ)" dataDxfId="2121">
      <calculatedColumnFormula>tbl_Office_Multi[[#This Row],[Target Max CO2]]/tbl_Office_Multi[[#This Row],[EffGHGMJ]]</calculatedColumnFormula>
    </tableColumn>
    <tableColumn id="256" xr3:uid="{83A46B7E-8973-4A9C-B524-AE4ACF146730}" name="Target Max Energy Intensity" dataDxfId="2120">
      <calculatedColumnFormula>tbl_Office_Multi[[#This Row],[Target Max Energy (MJ)]]/tbl_Office_Multi[[#This Row],[NLA]]</calculatedColumnFormula>
    </tableColumn>
    <tableColumn id="170" xr3:uid="{068A8991-C1B1-4708-8829-9B7BB5C65B18}" name="Target Max Elec (kWh)" dataDxfId="2119">
      <calculatedColumnFormula>ROUNDDOWN(tbl_Office_Multi[[#This Row],[Target Max Energy (MJ)]]*tbl_Office_Multi[[#This Row],[Electricity (%)]]/tbl_Office_Multi[[#This Row],[CFelec]],0)</calculatedColumnFormula>
    </tableColumn>
    <tableColumn id="178" xr3:uid="{A5D266A7-BAD5-4AC3-BC5D-CA6F29E8542A}" name="Target Max Gas (MJ)" dataDxfId="2118">
      <calculatedColumnFormula>ROUNDDOWN(tbl_Office_Multi[[#This Row],[Target Max Energy (MJ)]]*tbl_Office_Multi[[#This Row],[Gas (%)]],0)</calculatedColumnFormula>
    </tableColumn>
    <tableColumn id="181" xr3:uid="{D314A29F-543F-4EC8-9A40-556EA33610D1}" name="Target Max Diesel (L)" dataDxfId="2117">
      <calculatedColumnFormula>ROUNDDOWN(tbl_Office_Multi[[#This Row],[Target Max Energy (MJ)]]*tbl_Office_Multi[[#This Row],[Diesel (%)]]/tbl_Office_Multi[[#This Row],[CFdiesel]],0)</calculatedColumnFormula>
    </tableColumn>
    <tableColumn id="252" xr3:uid="{BCBA9F62-0B2D-4714-905C-DB6917C7C89E}" name="Target Scopes 1,2&amp;3" dataDxfId="2116">
      <calculatedColumnFormula>SUM(tbl_Office_Multi[[#This Row],[Target Max Elec (kWh)]]*tbl_Office_Multi[[#This Row],[SGEe Scopes 1,2&amp;3]],
tbl_Office_Multi[[#This Row],[Target Max Gas (MJ)]]*tbl_Office_Multi[[#This Row],[SGEg Scopes 1,2&amp;3]],
tbl_Office_Multi[[#This Row],[Target Max Diesel (L)]]*tbl_Office_Multi[[#This Row],[SGEd Scopes 1,2&amp;3]])</calculatedColumnFormula>
    </tableColumn>
    <tableColumn id="253" xr3:uid="{9C33F6FE-4E6D-43DE-96BC-5587ADE528A7}" name="Target Scopes 1&amp;2" dataDxfId="2115">
      <calculatedColumnFormula>SUM(tbl_Office_Multi[[#This Row],[Target Max Elec (kWh)]]*tbl_Office_Multi[[#This Row],[SGEe Scopes 1&amp;2]],
tbl_Office_Multi[[#This Row],[Target Max Gas (MJ)]]*tbl_Office_Multi[[#This Row],[SGEg Scopes 1&amp;2]],
tbl_Office_Multi[[#This Row],[Target Max Diesel (L)]]*tbl_Office_Multi[[#This Row],[SGEd Scopes 1&amp;2]])</calculatedColumnFormula>
    </tableColumn>
    <tableColumn id="38" xr3:uid="{F6B0D9F2-FA54-48B8-8647-3EC93EA56104}" name="Max Water" dataDxfId="2114">
      <calculatedColumnFormula>ROUNDDOWN(tbl_Office_Multi[[#This Row],[max w]]*tbl_Office_Multi[[#This Row],[NLA]],0)</calculatedColumnFormula>
    </tableColumn>
    <tableColumn id="56" xr3:uid="{1F99ECFC-32E0-423D-89DB-AFB3AB0B7F68}" name="max w" dataDxfId="2113">
      <calculatedColumnFormula>IF(tbl_Office_Multi[[#This Row],[Target Water]]&lt;=5,IF(tbl_Office_Multi[[#This Row],[w1]]&gt;=tbl_Office_Multi[[#This Row],[Alpha star]],tbl_Office_Multi[[#This Row],[w1]],tbl_Office_Multi[[#This Row],[w2]]),
((7-tbl_Office_Multi[[#This Row],[Target Water]])/2)*tbl_Office_Multi[[#This Row],[wat_5stars]])</calculatedColumnFormula>
    </tableColumn>
    <tableColumn id="64" xr3:uid="{84A0C2A0-8412-4F25-B949-1390CA8A7C14}" name="6.0* Max NGE" dataDxfId="2112">
      <calculatedColumnFormula>(LEFT(tbl_Office_Multi[[#Headers],[6.0* Max NGE]],3)-tbl_Office_Multi[[A]:[A]]-Office_C_Reverse_Star_Band_Residual_Adjustment)/tbl_Office_Multi[[B]:[B]]</calculatedColumnFormula>
    </tableColumn>
    <tableColumn id="65" xr3:uid="{B931C04C-3C2B-4FF2-B8A4-507014AD22EE}" name="5.5* Max NGE" dataDxfId="2111">
      <calculatedColumnFormula>(LEFT(tbl_Office_Multi[[#Headers],[5.5* Max NGE]],3)-tbl_Office_Multi[[A]:[A]]-Office_C_Reverse_Star_Band_Residual_Adjustment)/tbl_Office_Multi[[B]:[B]]</calculatedColumnFormula>
    </tableColumn>
    <tableColumn id="66" xr3:uid="{A7F67F70-65D4-4492-BF22-AB650B76C5AD}" name="5.0* Max NGE" dataDxfId="2110">
      <calculatedColumnFormula>(LEFT(tbl_Office_Multi[[#Headers],[5.0* Max NGE]],3)-tbl_Office_Multi[[A]:[A]]-Office_C_Reverse_Star_Band_Residual_Adjustment)/tbl_Office_Multi[[B]:[B]]</calculatedColumnFormula>
    </tableColumn>
    <tableColumn id="67" xr3:uid="{AB66C93B-79F5-489C-8239-7262C5CE0A68}" name="4.5* Max NGE" dataDxfId="2109">
      <calculatedColumnFormula>(LEFT(tbl_Office_Multi[[#Headers],[4.5* Max NGE]],3)-tbl_Office_Multi[[A]:[A]]-Office_C_Reverse_Star_Band_Residual_Adjustment)/tbl_Office_Multi[[B]:[B]]</calculatedColumnFormula>
    </tableColumn>
    <tableColumn id="68" xr3:uid="{85D48C79-E9D0-489B-98E5-885676C6E549}" name="4.0* Max NGE" dataDxfId="2108">
      <calculatedColumnFormula>(LEFT(tbl_Office_Multi[[#Headers],[4.0* Max NGE]],3)-tbl_Office_Multi[[A]:[A]]-Office_C_Reverse_Star_Band_Residual_Adjustment)/tbl_Office_Multi[[B]:[B]]</calculatedColumnFormula>
    </tableColumn>
    <tableColumn id="69" xr3:uid="{AE1928F9-2728-4F3D-ADF6-13AAEF225D71}" name="3.5* Max NGE" dataDxfId="2107">
      <calculatedColumnFormula>(LEFT(tbl_Office_Multi[[#Headers],[3.5* Max NGE]],3)-tbl_Office_Multi[[A]:[A]]-Office_C_Reverse_Star_Band_Residual_Adjustment)/tbl_Office_Multi[[B]:[B]]</calculatedColumnFormula>
    </tableColumn>
    <tableColumn id="70" xr3:uid="{D84164E5-B837-414E-A19C-73BBC95E7D0B}" name="3.0* Max NGE" dataDxfId="2106">
      <calculatedColumnFormula>(LEFT(tbl_Office_Multi[[#Headers],[3.0* Max NGE]],3)-tbl_Office_Multi[[A]:[A]]-Office_C_Reverse_Star_Band_Residual_Adjustment)/tbl_Office_Multi[[B]:[B]]</calculatedColumnFormula>
    </tableColumn>
    <tableColumn id="71" xr3:uid="{5C8AACD2-4D08-447E-89A6-5C3827A26208}" name="2.5* Max NGE" dataDxfId="2105">
      <calculatedColumnFormula>(LEFT(tbl_Office_Multi[[#Headers],[2.5* Max NGE]],3)-tbl_Office_Multi[[A]:[A]]-Office_C_Reverse_Star_Band_Residual_Adjustment)/tbl_Office_Multi[[B]:[B]]</calculatedColumnFormula>
    </tableColumn>
    <tableColumn id="72" xr3:uid="{3BE2B776-5656-4C83-A22A-B40662E321F0}" name="2.0* Max NGE" dataDxfId="2104">
      <calculatedColumnFormula>(LEFT(tbl_Office_Multi[[#Headers],[2.0* Max NGE]],3)-tbl_Office_Multi[[A]:[A]]-Office_C_Reverse_Star_Band_Residual_Adjustment)/tbl_Office_Multi[[B]:[B]]</calculatedColumnFormula>
    </tableColumn>
    <tableColumn id="73" xr3:uid="{1A8E2D74-5D63-47AE-8182-39B561E5F6CC}" name="1.5* Max NGE" dataDxfId="2103">
      <calculatedColumnFormula>(LEFT(tbl_Office_Multi[[#Headers],[1.5* Max NGE]],3)-tbl_Office_Multi[[A]:[A]]-Office_C_Reverse_Star_Band_Residual_Adjustment)/tbl_Office_Multi[[B]:[B]]</calculatedColumnFormula>
    </tableColumn>
    <tableColumn id="74" xr3:uid="{5A14400E-694F-4BB1-921E-6FBED98EE09F}" name="1.0* Max NGE" dataDxfId="2102">
      <calculatedColumnFormula>(LEFT(tbl_Office_Multi[[#Headers],[1.0* Max NGE]],3)-tbl_Office_Multi[[A]:[A]]-Office_C_Reverse_Star_Band_Residual_Adjustment)/tbl_Office_Multi[[B]:[B]]</calculatedColumnFormula>
    </tableColumn>
    <tableColumn id="251" xr3:uid="{CE47C202-F458-494B-B452-39E4C3D932BD}" name="0.0* Max NGE" dataDxfId="2101">
      <calculatedColumnFormula>(LEFT(tbl_Office_Multi[[#Headers],[0.0* Max NGE]],3)-tbl_Office_Multi[[A]:[A]]-Office_C_Reverse_Star_Band_Residual_Adjustment)/tbl_Office_Multi[[B]:[B]]</calculatedColumnFormula>
    </tableColumn>
    <tableColumn id="75" xr3:uid="{2163D794-B81C-422B-AC97-CD827EEB49E3}" name="6.0* Max GE" dataDxfId="2100">
      <calculatedColumnFormula>IF(LEFT(tbl_Office_Multi[[#Headers],[6.0* Max GE]],3)*1&gt;5,
(LEFT(tbl_Office_Multi[[#Headers],[6.0* Max GE]],3)-Office_C_Reverse_Star_Band_Residual_Adjustment-tbl_Office_Multi[[AEnergybeyond5stars]:[AEnergybeyond5stars]])/tbl_Office_Multi[[BEnergybeyond5stars gasMJ]:[BEnergybeyond5stars gasMJ]],
IF(tbl_Office_Multi[[Rating Type]:[Rating Type]]="Base Building",tbl_Office_Multi[[#This Row],[6.0* Max NGE]]/tbl_Office_Multi[[f_basebuilding]:[f_basebuilding]]-tbl_Office_Multi[[GEcorrclimate]:[GEcorrclimate]],
IF(tbl_Office_Multi[[Rating Type]:[Rating Type]]="Tenancy",tbl_Office_Multi[[#This Row],[6.0* Max NGE]]/tbl_Office_Multi[[f_tenancy]:[f_tenancy]]-tbl_Office_Multi[[GEcorrtenancy]:[GEcorrtenancy]],
IF(tbl_Office_Multi[[Rating Type]:[Rating Type]]="Whole Building",(tbl_Office_Multi[[#This Row],[6.0*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76" xr3:uid="{77077D93-06E2-4A5A-B73C-053E081877B3}" name="5.5* Max GE" dataDxfId="2099">
      <calculatedColumnFormula>IF(LEFT(tbl_Office_Multi[[#Headers],[5.5* Max GE]],3)*1&gt;5,
(LEFT(tbl_Office_Multi[[#Headers],[5.5* Max GE]],3)-Office_C_Reverse_Star_Band_Residual_Adjustment-tbl_Office_Multi[[AEnergybeyond5stars]:[AEnergybeyond5stars]])/tbl_Office_Multi[[BEnergybeyond5stars gasMJ]:[BEnergybeyond5stars gasMJ]],
IF(tbl_Office_Multi[[Rating Type]:[Rating Type]]="Base Building",tbl_Office_Multi[[#This Row],[5.5* Max NGE]]/tbl_Office_Multi[[f_basebuilding]:[f_basebuilding]]-tbl_Office_Multi[[GEcorrclimate]:[GEcorrclimate]],
IF(tbl_Office_Multi[[Rating Type]:[Rating Type]]="Tenancy",tbl_Office_Multi[[#This Row],[5.5* Max NGE]]/tbl_Office_Multi[[f_tenancy]:[f_tenancy]]-tbl_Office_Multi[[GEcorrtenancy]:[GEcorrtenancy]],
IF(tbl_Office_Multi[[Rating Type]:[Rating Type]]="Whole Building",(tbl_Office_Multi[[#This Row],[5.5*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77" xr3:uid="{F6DE31D0-21C8-4ACE-A5B9-12BE5A88F702}" name="5.0* Max GE" dataDxfId="2098">
      <calculatedColumnFormula>IF(LEFT(tbl_Office_Multi[[#Headers],[5.0* Max GE]],3)*1&gt;5,
(LEFT(tbl_Office_Multi[[#Headers],[5.0* Max GE]],3)-Office_C_Reverse_Star_Band_Residual_Adjustment-tbl_Office_Multi[[AEnergybeyond5stars]:[AEnergybeyond5stars]])/tbl_Office_Multi[[BEnergybeyond5stars gasMJ]:[BEnergybeyond5stars gasMJ]],
IF(tbl_Office_Multi[[Rating Type]:[Rating Type]]="Base Building",tbl_Office_Multi[[#This Row],[5.0* Max NGE]]/tbl_Office_Multi[[f_basebuilding]:[f_basebuilding]]-tbl_Office_Multi[[GEcorrclimate]:[GEcorrclimate]],
IF(tbl_Office_Multi[[Rating Type]:[Rating Type]]="Tenancy",tbl_Office_Multi[[#This Row],[5.0* Max NGE]]/tbl_Office_Multi[[f_tenancy]:[f_tenancy]]-tbl_Office_Multi[[GEcorrtenancy]:[GEcorrtenancy]],
IF(tbl_Office_Multi[[Rating Type]:[Rating Type]]="Whole Building",(tbl_Office_Multi[[#This Row],[5.0*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78" xr3:uid="{1033AA49-B290-4AD8-A2A7-4B22A808A491}" name="4.5* Max GE" dataDxfId="2097">
      <calculatedColumnFormula>IF(LEFT(tbl_Office_Multi[[#Headers],[4.5* Max GE]],3)*1&gt;5,
(LEFT(tbl_Office_Multi[[#Headers],[4.5* Max GE]],3)-Office_C_Reverse_Star_Band_Residual_Adjustment-tbl_Office_Multi[[AEnergybeyond5stars]:[AEnergybeyond5stars]])/tbl_Office_Multi[[BEnergybeyond5stars gasMJ]:[BEnergybeyond5stars gasMJ]],
IF(tbl_Office_Multi[[Rating Type]:[Rating Type]]="Base Building",tbl_Office_Multi[[#This Row],[4.5* Max NGE]]/tbl_Office_Multi[[f_basebuilding]:[f_basebuilding]]-tbl_Office_Multi[[GEcorrclimate]:[GEcorrclimate]],
IF(tbl_Office_Multi[[Rating Type]:[Rating Type]]="Tenancy",tbl_Office_Multi[[#This Row],[4.5* Max NGE]]/tbl_Office_Multi[[f_tenancy]:[f_tenancy]]-tbl_Office_Multi[[GEcorrtenancy]:[GEcorrtenancy]],
IF(tbl_Office_Multi[[Rating Type]:[Rating Type]]="Whole Building",(tbl_Office_Multi[[#This Row],[4.5*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79" xr3:uid="{9044D88A-68DA-4E5C-BE16-15CB6C26952C}" name="4.0* Max GE" dataDxfId="2096">
      <calculatedColumnFormula>IF(LEFT(tbl_Office_Multi[[#Headers],[4.0* Max GE]],3)*1&gt;5,
(LEFT(tbl_Office_Multi[[#Headers],[4.0* Max GE]],3)-Office_C_Reverse_Star_Band_Residual_Adjustment-tbl_Office_Multi[[AEnergybeyond5stars]:[AEnergybeyond5stars]])/tbl_Office_Multi[[BEnergybeyond5stars gasMJ]:[BEnergybeyond5stars gasMJ]],
IF(tbl_Office_Multi[[Rating Type]:[Rating Type]]="Base Building",tbl_Office_Multi[[#This Row],[4.0* Max NGE]]/tbl_Office_Multi[[f_basebuilding]:[f_basebuilding]]-tbl_Office_Multi[[GEcorrclimate]:[GEcorrclimate]],
IF(tbl_Office_Multi[[Rating Type]:[Rating Type]]="Tenancy",tbl_Office_Multi[[#This Row],[4.0* Max NGE]]/tbl_Office_Multi[[f_tenancy]:[f_tenancy]]-tbl_Office_Multi[[GEcorrtenancy]:[GEcorrtenancy]],
IF(tbl_Office_Multi[[Rating Type]:[Rating Type]]="Whole Building",(tbl_Office_Multi[[#This Row],[4.0*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0" xr3:uid="{7C02F451-ADE9-40CA-B238-B63C8B0FAD15}" name="3.5* Max GE" dataDxfId="2095">
      <calculatedColumnFormula>IF(LEFT(tbl_Office_Multi[[#Headers],[3.5* Max GE]],3)*1&gt;5,
(LEFT(tbl_Office_Multi[[#Headers],[3.5* Max GE]],3)-Office_C_Reverse_Star_Band_Residual_Adjustment-tbl_Office_Multi[[AEnergybeyond5stars]:[AEnergybeyond5stars]])/tbl_Office_Multi[[BEnergybeyond5stars gasMJ]:[BEnergybeyond5stars gasMJ]],
IF(tbl_Office_Multi[[Rating Type]:[Rating Type]]="Base Building",tbl_Office_Multi[[#This Row],[3.5* Max NGE]]/tbl_Office_Multi[[f_basebuilding]:[f_basebuilding]]-tbl_Office_Multi[[GEcorrclimate]:[GEcorrclimate]],
IF(tbl_Office_Multi[[Rating Type]:[Rating Type]]="Tenancy",tbl_Office_Multi[[#This Row],[3.5* Max NGE]]/tbl_Office_Multi[[f_tenancy]:[f_tenancy]]-tbl_Office_Multi[[GEcorrtenancy]:[GEcorrtenancy]],
IF(tbl_Office_Multi[[Rating Type]:[Rating Type]]="Whole Building",(tbl_Office_Multi[[#This Row],[3.5*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1" xr3:uid="{67768B07-E204-4B51-A634-D69AC50E4068}" name="3.0* Max GE" dataDxfId="2094">
      <calculatedColumnFormula>IF(LEFT(tbl_Office_Multi[[#Headers],[3.0* Max GE]],3)*1&gt;5,
(LEFT(tbl_Office_Multi[[#Headers],[3.0* Max GE]],3)-Office_C_Reverse_Star_Band_Residual_Adjustment-tbl_Office_Multi[[AEnergybeyond5stars]:[AEnergybeyond5stars]])/tbl_Office_Multi[[BEnergybeyond5stars gasMJ]:[BEnergybeyond5stars gasMJ]],
IF(tbl_Office_Multi[[Rating Type]:[Rating Type]]="Base Building",tbl_Office_Multi[[#This Row],[3.0* Max NGE]]/tbl_Office_Multi[[f_basebuilding]:[f_basebuilding]]-tbl_Office_Multi[[GEcorrclimate]:[GEcorrclimate]],
IF(tbl_Office_Multi[[Rating Type]:[Rating Type]]="Tenancy",tbl_Office_Multi[[#This Row],[3.0* Max NGE]]/tbl_Office_Multi[[f_tenancy]:[f_tenancy]]-tbl_Office_Multi[[GEcorrtenancy]:[GEcorrtenancy]],
IF(tbl_Office_Multi[[Rating Type]:[Rating Type]]="Whole Building",(tbl_Office_Multi[[#This Row],[3.0*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2" xr3:uid="{B86BA857-686C-49ED-9A88-4BD2D0291A06}" name="2.5* Max GE" dataDxfId="2093">
      <calculatedColumnFormula>IF(LEFT(tbl_Office_Multi[[#Headers],[2.5* Max GE]],3)*1&gt;5,
(LEFT(tbl_Office_Multi[[#Headers],[2.5* Max GE]],3)-Office_C_Reverse_Star_Band_Residual_Adjustment-tbl_Office_Multi[[AEnergybeyond5stars]:[AEnergybeyond5stars]])/tbl_Office_Multi[[BEnergybeyond5stars gasMJ]:[BEnergybeyond5stars gasMJ]],
IF(tbl_Office_Multi[[Rating Type]:[Rating Type]]="Base Building",tbl_Office_Multi[[#This Row],[2.5* Max NGE]]/tbl_Office_Multi[[f_basebuilding]:[f_basebuilding]]-tbl_Office_Multi[[GEcorrclimate]:[GEcorrclimate]],
IF(tbl_Office_Multi[[Rating Type]:[Rating Type]]="Tenancy",tbl_Office_Multi[[#This Row],[2.5* Max NGE]]/tbl_Office_Multi[[f_tenancy]:[f_tenancy]]-tbl_Office_Multi[[GEcorrtenancy]:[GEcorrtenancy]],
IF(tbl_Office_Multi[[Rating Type]:[Rating Type]]="Whole Building",(tbl_Office_Multi[[#This Row],[2.5*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3" xr3:uid="{E4C804D7-661F-4DD7-B73C-CD8821BB25DE}" name="2.0* Max GE" dataDxfId="2092">
      <calculatedColumnFormula>IF(LEFT(tbl_Office_Multi[[#Headers],[2.0* Max GE]],3)*1&gt;5,
(LEFT(tbl_Office_Multi[[#Headers],[2.0* Max GE]],3)-Office_C_Reverse_Star_Band_Residual_Adjustment-tbl_Office_Multi[[AEnergybeyond5stars]:[AEnergybeyond5stars]])/tbl_Office_Multi[[BEnergybeyond5stars gasMJ]:[BEnergybeyond5stars gasMJ]],
IF(tbl_Office_Multi[[Rating Type]:[Rating Type]]="Base Building",tbl_Office_Multi[[#This Row],[2.0* Max NGE]]/tbl_Office_Multi[[f_basebuilding]:[f_basebuilding]]-tbl_Office_Multi[[GEcorrclimate]:[GEcorrclimate]],
IF(tbl_Office_Multi[[Rating Type]:[Rating Type]]="Tenancy",tbl_Office_Multi[[#This Row],[2.0* Max NGE]]/tbl_Office_Multi[[f_tenancy]:[f_tenancy]]-tbl_Office_Multi[[GEcorrtenancy]:[GEcorrtenancy]],
IF(tbl_Office_Multi[[Rating Type]:[Rating Type]]="Whole Building",(tbl_Office_Multi[[#This Row],[2.0*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4" xr3:uid="{91639955-1F51-4AA6-8929-D89F1B33B4A1}" name="1.5* Max GE" dataDxfId="2091">
      <calculatedColumnFormula>IF(LEFT(tbl_Office_Multi[[#Headers],[1.5* Max GE]],3)*1&gt;5,
(LEFT(tbl_Office_Multi[[#Headers],[1.5* Max GE]],3)-Office_C_Reverse_Star_Band_Residual_Adjustment-tbl_Office_Multi[[AEnergybeyond5stars]:[AEnergybeyond5stars]])/tbl_Office_Multi[[BEnergybeyond5stars gasMJ]:[BEnergybeyond5stars gasMJ]],
IF(tbl_Office_Multi[[Rating Type]:[Rating Type]]="Base Building",tbl_Office_Multi[[#This Row],[1.5* Max NGE]]/tbl_Office_Multi[[f_basebuilding]:[f_basebuilding]]-tbl_Office_Multi[[GEcorrclimate]:[GEcorrclimate]],
IF(tbl_Office_Multi[[Rating Type]:[Rating Type]]="Tenancy",tbl_Office_Multi[[#This Row],[1.5* Max NGE]]/tbl_Office_Multi[[f_tenancy]:[f_tenancy]]-tbl_Office_Multi[[GEcorrtenancy]:[GEcorrtenancy]],
IF(tbl_Office_Multi[[Rating Type]:[Rating Type]]="Whole Building",(tbl_Office_Multi[[#This Row],[1.5*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5" xr3:uid="{53CA2939-BBAA-4760-BDF7-F8F858580E9C}" name="1.0* Max GE" dataDxfId="2090">
      <calculatedColumnFormula>IF(LEFT(tbl_Office_Multi[[#Headers],[1.0* Max GE]],3)*1&gt;5,
(LEFT(tbl_Office_Multi[[#Headers],[1.0* Max GE]],3)-Office_C_Reverse_Star_Band_Residual_Adjustment-tbl_Office_Multi[[AEnergybeyond5stars]:[AEnergybeyond5stars]])/tbl_Office_Multi[[BEnergybeyond5stars gasMJ]:[BEnergybeyond5stars gasMJ]],
IF(tbl_Office_Multi[[Rating Type]:[Rating Type]]="Base Building",tbl_Office_Multi[[#This Row],[1.0* Max NGE]]/tbl_Office_Multi[[f_basebuilding]:[f_basebuilding]]-tbl_Office_Multi[[GEcorrclimate]:[GEcorrclimate]],
IF(tbl_Office_Multi[[Rating Type]:[Rating Type]]="Tenancy",tbl_Office_Multi[[#This Row],[1.0* Max NGE]]/tbl_Office_Multi[[f_tenancy]:[f_tenancy]]-tbl_Office_Multi[[GEcorrtenancy]:[GEcorrtenancy]],
IF(tbl_Office_Multi[[Rating Type]:[Rating Type]]="Whole Building",(tbl_Office_Multi[[#This Row],[1.0*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247" xr3:uid="{DA448FC8-8DCE-4E96-A3B6-2978A77A4805}" name="0.0* Max GE" dataDxfId="2089">
      <calculatedColumnFormula>IF(LEFT(tbl_Office_Multi[[#Headers],[0.0* Max GE]],3)*1&gt;5,
(LEFT(tbl_Office_Multi[[#Headers],[0.0* Max GE]],3)-Office_C_Reverse_Star_Band_Residual_Adjustment-tbl_Office_Multi[[AEnergybeyond5stars]:[AEnergybeyond5stars]])/tbl_Office_Multi[[BEnergybeyond5stars gasMJ]:[BEnergybeyond5stars gasMJ]],
IF(tbl_Office_Multi[[Rating Type]:[Rating Type]]="Base Building",tbl_Office_Multi[[#This Row],[0.0* Max NGE]]/tbl_Office_Multi[[f_basebuilding]:[f_basebuilding]]-tbl_Office_Multi[[GEcorrclimate]:[GEcorrclimate]],
IF(tbl_Office_Multi[[Rating Type]:[Rating Type]]="Tenancy",tbl_Office_Multi[[#This Row],[0.0* Max NGE]]/tbl_Office_Multi[[f_tenancy]:[f_tenancy]]-tbl_Office_Multi[[GEcorrtenancy]:[GEcorrtenancy]],
IF(tbl_Office_Multi[[Rating Type]:[Rating Type]]="Whole Building",(tbl_Office_Multi[[#This Row],[0.0* Max NGE]]-tbl_Office_Multi[[f_tenancy]:[f_tenancy]]*tbl_Office_Multi[[GEcorrtenancy]:[GEcorrtenancy]]-tbl_Office_Multi[[f_basebuilding]:[f_basebuilding]]*tbl_Office_Multi[[GEcorrclimate]:[GEcorrclimate]])/((tbl_Office_Multi[[f_basebuilding]:[f_basebuilding]]+tbl_Office_Multi[[f_tenancy]:[f_tenancy]])/2),0))))</calculatedColumnFormula>
    </tableColumn>
    <tableColumn id="86" xr3:uid="{9A2BA5BC-5355-4261-A566-CB613850DF01}" name="6.0* Max CO2" dataDxfId="2088">
      <calculatedColumnFormula>tbl_Office_Multi[[#This Row],[6.0* Max GE]]*tbl_Office_Multi[[NLA]:[NLA]]</calculatedColumnFormula>
    </tableColumn>
    <tableColumn id="87" xr3:uid="{9A9C86FA-9952-4DE0-828C-9DD7FF0C12F8}" name="5.5* Max CO2" dataDxfId="2087">
      <calculatedColumnFormula>tbl_Office_Multi[[#This Row],[5.5* Max GE]]*tbl_Office_Multi[[NLA]:[NLA]]</calculatedColumnFormula>
    </tableColumn>
    <tableColumn id="88" xr3:uid="{A9BE1BBB-6921-4436-8DF0-BA751495A882}" name="5.0* Max CO2" dataDxfId="2086">
      <calculatedColumnFormula>tbl_Office_Multi[[#This Row],[5.0* Max GE]]*tbl_Office_Multi[[NLA]:[NLA]]</calculatedColumnFormula>
    </tableColumn>
    <tableColumn id="89" xr3:uid="{5A928A9F-30D7-4DE9-8C31-04F3AB78E713}" name="4.5* Max CO2" dataDxfId="2085">
      <calculatedColumnFormula>tbl_Office_Multi[[#This Row],[4.5* Max GE]]*tbl_Office_Multi[[NLA]:[NLA]]</calculatedColumnFormula>
    </tableColumn>
    <tableColumn id="90" xr3:uid="{4F0E8F6F-3A33-4EC7-893C-E3EDB587BDA0}" name="4.0* Max CO2" dataDxfId="2084">
      <calculatedColumnFormula>tbl_Office_Multi[[#This Row],[4.0* Max GE]]*tbl_Office_Multi[[NLA]:[NLA]]</calculatedColumnFormula>
    </tableColumn>
    <tableColumn id="91" xr3:uid="{FBA51909-7544-4FC7-83D3-6BCB9A8E65A5}" name="3.5* Max CO2" dataDxfId="2083">
      <calculatedColumnFormula>tbl_Office_Multi[[#This Row],[3.5* Max GE]]*tbl_Office_Multi[[NLA]:[NLA]]</calculatedColumnFormula>
    </tableColumn>
    <tableColumn id="92" xr3:uid="{0AAC2E6E-E376-4EDD-BF66-740C45E96A00}" name="3.0* Max CO2" dataDxfId="2082">
      <calculatedColumnFormula>tbl_Office_Multi[[#This Row],[3.0* Max GE]]*tbl_Office_Multi[[NLA]:[NLA]]</calculatedColumnFormula>
    </tableColumn>
    <tableColumn id="93" xr3:uid="{BD1C6205-E050-43DD-B68C-D77E60E8BAE2}" name="2.5* Max CO2" dataDxfId="2081">
      <calculatedColumnFormula>tbl_Office_Multi[[#This Row],[2.5* Max GE]]*tbl_Office_Multi[[NLA]:[NLA]]</calculatedColumnFormula>
    </tableColumn>
    <tableColumn id="94" xr3:uid="{2BEB958A-60EB-4B2E-A848-EBB15C942D69}" name="2.0* Max CO2" dataDxfId="2080">
      <calculatedColumnFormula>tbl_Office_Multi[[#This Row],[2.0* Max GE]]*tbl_Office_Multi[[NLA]:[NLA]]</calculatedColumnFormula>
    </tableColumn>
    <tableColumn id="95" xr3:uid="{3D9B35CA-17C0-4D05-AD89-241BA23BA37D}" name="1.5* Max CO2" dataDxfId="2079">
      <calculatedColumnFormula>tbl_Office_Multi[[#This Row],[1.5* Max GE]]*tbl_Office_Multi[[NLA]:[NLA]]</calculatedColumnFormula>
    </tableColumn>
    <tableColumn id="96" xr3:uid="{C458317C-EED8-4618-A04A-1DA366C0A114}" name="1.0* Max CO2" dataDxfId="2078">
      <calculatedColumnFormula>tbl_Office_Multi[[#This Row],[1.0* Max GE]]*tbl_Office_Multi[[NLA]:[NLA]]</calculatedColumnFormula>
    </tableColumn>
    <tableColumn id="243" xr3:uid="{AF55C215-D4B2-4BD4-A935-86733DC03B66}" name="0.0* Max CO2" dataDxfId="2077">
      <calculatedColumnFormula>tbl_Office_Multi[[#This Row],[0.0* Max GE]]*tbl_Office_Multi[[NLA]:[NLA]]</calculatedColumnFormula>
    </tableColumn>
    <tableColumn id="155" xr3:uid="{70844B99-E2DA-4D97-B8FE-54D84BA83748}" name="6.0* Max Energy (MJ)" dataDxfId="2076">
      <calculatedColumnFormula>tbl_Office_Multi[[#This Row],[6.0* Max CO2]]/tbl_Office_Multi[[EffGHGMJ]:[EffGHGMJ]]</calculatedColumnFormula>
    </tableColumn>
    <tableColumn id="156" xr3:uid="{9AFCB235-F89C-47FF-AF1A-AF4D46CFDA45}" name="5.5* Max Energy (MJ)" dataDxfId="2075">
      <calculatedColumnFormula>tbl_Office_Multi[[#This Row],[5.5* Max CO2]]/tbl_Office_Multi[[EffGHGMJ]:[EffGHGMJ]]</calculatedColumnFormula>
    </tableColumn>
    <tableColumn id="157" xr3:uid="{D72D3067-E457-4A6B-A31E-B6645C857325}" name="5.0* Max Energy (MJ)" dataDxfId="2074">
      <calculatedColumnFormula>tbl_Office_Multi[[#This Row],[5.0* Max CO2]]/tbl_Office_Multi[[EffGHGMJ]:[EffGHGMJ]]</calculatedColumnFormula>
    </tableColumn>
    <tableColumn id="158" xr3:uid="{B82D7851-0BB6-4CC5-85FD-C7070BFDE35E}" name="4.5* Max Energy (MJ)" dataDxfId="2073">
      <calculatedColumnFormula>tbl_Office_Multi[[#This Row],[4.5* Max CO2]]/tbl_Office_Multi[[EffGHGMJ]:[EffGHGMJ]]</calculatedColumnFormula>
    </tableColumn>
    <tableColumn id="159" xr3:uid="{753A4039-5518-4089-BD0C-C31A2204B386}" name="4.0* Max Energy (MJ)" dataDxfId="2072">
      <calculatedColumnFormula>tbl_Office_Multi[[#This Row],[4.0* Max CO2]]/tbl_Office_Multi[[EffGHGMJ]:[EffGHGMJ]]</calculatedColumnFormula>
    </tableColumn>
    <tableColumn id="160" xr3:uid="{0ABDF201-F8AC-480E-A847-F38EF536B360}" name="3.5* Max Energy (MJ)" dataDxfId="2071">
      <calculatedColumnFormula>tbl_Office_Multi[[#This Row],[3.5* Max CO2]]/tbl_Office_Multi[[EffGHGMJ]:[EffGHGMJ]]</calculatedColumnFormula>
    </tableColumn>
    <tableColumn id="161" xr3:uid="{45F3B694-B02D-4AB8-8D03-E8763B5C87E2}" name="3.0* Max Energy (MJ)" dataDxfId="2070">
      <calculatedColumnFormula>tbl_Office_Multi[[#This Row],[3.0* Max CO2]]/tbl_Office_Multi[[EffGHGMJ]:[EffGHGMJ]]</calculatedColumnFormula>
    </tableColumn>
    <tableColumn id="162" xr3:uid="{D1CECCF3-9D57-48DA-A779-2F208F26F008}" name="2.5* Max Energy (MJ)" dataDxfId="2069">
      <calculatedColumnFormula>tbl_Office_Multi[[#This Row],[2.5* Max CO2]]/tbl_Office_Multi[[EffGHGMJ]:[EffGHGMJ]]</calculatedColumnFormula>
    </tableColumn>
    <tableColumn id="163" xr3:uid="{4E30909E-EC41-4A36-8710-4F671AEE9CB9}" name="2.0* Max Energy (MJ)" dataDxfId="2068">
      <calculatedColumnFormula>tbl_Office_Multi[[#This Row],[2.0* Max CO2]]/tbl_Office_Multi[[EffGHGMJ]:[EffGHGMJ]]</calculatedColumnFormula>
    </tableColumn>
    <tableColumn id="164" xr3:uid="{795B6DBA-66CE-4726-A6C5-CE0AAB545B67}" name="1.5* Max Energy (MJ)" dataDxfId="2067">
      <calculatedColumnFormula>tbl_Office_Multi[[#This Row],[1.5* Max CO2]]/tbl_Office_Multi[[EffGHGMJ]:[EffGHGMJ]]</calculatedColumnFormula>
    </tableColumn>
    <tableColumn id="165" xr3:uid="{94EEBCE0-052F-475F-A513-74D7926F3256}" name="1.0* Max Energy (MJ)" dataDxfId="2066">
      <calculatedColumnFormula>tbl_Office_Multi[[#This Row],[1.0* Max CO2]]/tbl_Office_Multi[[EffGHGMJ]:[EffGHGMJ]]</calculatedColumnFormula>
    </tableColumn>
    <tableColumn id="231" xr3:uid="{2100C1BE-DD66-410F-A42D-F6D0B0FEE44C}" name="0.0* Max Energy (MJ)" dataDxfId="2065">
      <calculatedColumnFormula>tbl_Office_Multi[[#This Row],[0.0* Max CO2]]/tbl_Office_Multi[[EffGHGMJ]:[EffGHGMJ]]</calculatedColumnFormula>
    </tableColumn>
    <tableColumn id="97" xr3:uid="{3824F381-EDFB-47DE-924F-C96B8ABA5775}" name="6.0* Max Elec (kWh)" dataDxfId="2064">
      <calculatedColumnFormula>ROUNDDOWN(tbl_Office_Multi[[#This Row],[6.0* Max Energy (MJ)]]*tbl_Office_Multi[[Electricity (%)]:[Electricity (%)]]/tbl_Office_Multi[[CFelec]:[CFelec]],0)</calculatedColumnFormula>
    </tableColumn>
    <tableColumn id="98" xr3:uid="{9D75F2B7-F9FC-4641-BF15-2F6E3DB4B146}" name="5.5* Max Elec (kWh)" dataDxfId="2063">
      <calculatedColumnFormula>ROUNDDOWN(tbl_Office_Multi[[#This Row],[5.5* Max Energy (MJ)]]*tbl_Office_Multi[[Electricity (%)]:[Electricity (%)]]/tbl_Office_Multi[[CFelec]:[CFelec]],0)</calculatedColumnFormula>
    </tableColumn>
    <tableColumn id="99" xr3:uid="{A949ED22-0EE2-4804-B5EC-57161D3A5397}" name="5.0* Max Elec (kWh)" dataDxfId="2062">
      <calculatedColumnFormula>ROUNDDOWN(tbl_Office_Multi[[#This Row],[5.0* Max Energy (MJ)]]*tbl_Office_Multi[[Electricity (%)]:[Electricity (%)]]/tbl_Office_Multi[[CFelec]:[CFelec]],0)</calculatedColumnFormula>
    </tableColumn>
    <tableColumn id="100" xr3:uid="{9AC15033-7904-46A0-97AC-4C667E09B939}" name="4.5* Max Elec (kWh)" dataDxfId="2061">
      <calculatedColumnFormula>ROUNDDOWN(tbl_Office_Multi[[#This Row],[4.5* Max Energy (MJ)]]*tbl_Office_Multi[[Electricity (%)]:[Electricity (%)]]/tbl_Office_Multi[[CFelec]:[CFelec]],0)</calculatedColumnFormula>
    </tableColumn>
    <tableColumn id="101" xr3:uid="{7C30A672-1F81-4F85-ADE5-F48C7A35704E}" name="4.0* Max Elec (kWh)" dataDxfId="2060">
      <calculatedColumnFormula>ROUNDDOWN(tbl_Office_Multi[[#This Row],[4.0* Max Energy (MJ)]]*tbl_Office_Multi[[Electricity (%)]:[Electricity (%)]]/tbl_Office_Multi[[CFelec]:[CFelec]],0)</calculatedColumnFormula>
    </tableColumn>
    <tableColumn id="102" xr3:uid="{151FE29E-6AAB-4583-9C23-56C997BF39D4}" name="3.5* Max Elec (kWh)" dataDxfId="2059">
      <calculatedColumnFormula>ROUNDDOWN(tbl_Office_Multi[[#This Row],[3.5* Max Energy (MJ)]]*tbl_Office_Multi[[Electricity (%)]:[Electricity (%)]]/tbl_Office_Multi[[CFelec]:[CFelec]],0)</calculatedColumnFormula>
    </tableColumn>
    <tableColumn id="103" xr3:uid="{C3C0E027-E88A-4564-A1FD-B941B600F519}" name="3.0* Max Elec (kWh)" dataDxfId="2058">
      <calculatedColumnFormula>ROUNDDOWN(tbl_Office_Multi[[#This Row],[3.0* Max Energy (MJ)]]*tbl_Office_Multi[[Electricity (%)]:[Electricity (%)]]/tbl_Office_Multi[[CFelec]:[CFelec]],0)</calculatedColumnFormula>
    </tableColumn>
    <tableColumn id="104" xr3:uid="{9E67C18C-F751-40AB-A6E5-48B9DB070257}" name="2.5* Max Elec (kWh)" dataDxfId="2057">
      <calculatedColumnFormula>ROUNDDOWN(tbl_Office_Multi[[#This Row],[2.5* Max Energy (MJ)]]*tbl_Office_Multi[[Electricity (%)]:[Electricity (%)]]/tbl_Office_Multi[[CFelec]:[CFelec]],0)</calculatedColumnFormula>
    </tableColumn>
    <tableColumn id="105" xr3:uid="{6D74D915-4AB8-4272-857D-7D2F270CAAC3}" name="2.0* Max Elec (kWh)" dataDxfId="2056">
      <calculatedColumnFormula>ROUNDDOWN(tbl_Office_Multi[[#This Row],[2.0* Max Energy (MJ)]]*tbl_Office_Multi[[Electricity (%)]:[Electricity (%)]]/tbl_Office_Multi[[CFelec]:[CFelec]],0)</calculatedColumnFormula>
    </tableColumn>
    <tableColumn id="106" xr3:uid="{987938EE-3725-4B30-99B0-CEA26014B5F2}" name="1.5* Max Elec (kWh)" dataDxfId="2055">
      <calculatedColumnFormula>ROUNDDOWN(tbl_Office_Multi[[#This Row],[1.5* Max Energy (MJ)]]*tbl_Office_Multi[[Electricity (%)]:[Electricity (%)]]/tbl_Office_Multi[[CFelec]:[CFelec]],0)</calculatedColumnFormula>
    </tableColumn>
    <tableColumn id="107" xr3:uid="{0E4E122B-0384-4891-A3C6-E75905FAEAED}" name="1.0* Max Elec (kWh)" dataDxfId="2054">
      <calculatedColumnFormula>ROUNDDOWN(tbl_Office_Multi[[#This Row],[1.0* Max Energy (MJ)]]*tbl_Office_Multi[[Electricity (%)]:[Electricity (%)]]/tbl_Office_Multi[[CFelec]:[CFelec]],0)</calculatedColumnFormula>
    </tableColumn>
    <tableColumn id="217" xr3:uid="{7266F365-7A9F-4B7C-A4B9-F8CF5BFF5710}" name="0.0* Max Elec (kWh)" dataDxfId="2053">
      <calculatedColumnFormula>ROUNDDOWN(tbl_Office_Multi[[#This Row],[0.0* Max Energy (MJ)]]*tbl_Office_Multi[[Electricity (%)]:[Electricity (%)]]/tbl_Office_Multi[[CFelec]:[CFelec]],0)</calculatedColumnFormula>
    </tableColumn>
    <tableColumn id="108" xr3:uid="{5A9F5CFF-D2AF-41E4-8ACA-7A9D69E5199D}" name="6.0* Max Gas (MJ)" dataDxfId="2052">
      <calculatedColumnFormula>ROUNDDOWN(tbl_Office_Multi[[#This Row],[6.0* Max Energy (MJ)]]*tbl_Office_Multi[[Gas (%)]:[Gas (%)]],0)</calculatedColumnFormula>
    </tableColumn>
    <tableColumn id="109" xr3:uid="{135E265E-5A17-49CF-894A-4F8CFD41AA51}" name="5.5* Max Gas (MJ)" dataDxfId="2051">
      <calculatedColumnFormula>ROUNDDOWN(tbl_Office_Multi[[#This Row],[5.5* Max Energy (MJ)]]*tbl_Office_Multi[[Gas (%)]:[Gas (%)]],0)</calculatedColumnFormula>
    </tableColumn>
    <tableColumn id="110" xr3:uid="{2FFA2768-F58B-49B2-9D7D-FE8523DB0F8B}" name="5.0* Max Gas (MJ)" dataDxfId="2050">
      <calculatedColumnFormula>ROUNDDOWN(tbl_Office_Multi[[#This Row],[5.0* Max Energy (MJ)]]*tbl_Office_Multi[[Gas (%)]:[Gas (%)]],0)</calculatedColumnFormula>
    </tableColumn>
    <tableColumn id="111" xr3:uid="{BD5A7727-C376-4929-854B-44E8CA82E499}" name="4.5* Max Gas (MJ)" dataDxfId="2049">
      <calculatedColumnFormula>ROUNDDOWN(tbl_Office_Multi[[#This Row],[4.5* Max Energy (MJ)]]*tbl_Office_Multi[[Gas (%)]:[Gas (%)]],0)</calculatedColumnFormula>
    </tableColumn>
    <tableColumn id="112" xr3:uid="{F38944C6-A4CA-463F-9F61-895C82F44ACD}" name="4.0* Max Gas (MJ)" dataDxfId="2048">
      <calculatedColumnFormula>ROUNDDOWN(tbl_Office_Multi[[#This Row],[4.0* Max Energy (MJ)]]*tbl_Office_Multi[[Gas (%)]:[Gas (%)]],0)</calculatedColumnFormula>
    </tableColumn>
    <tableColumn id="113" xr3:uid="{0C6F5B39-3024-4CAA-BCD3-6454C601174C}" name="3.5* Max Gas (MJ)" dataDxfId="2047">
      <calculatedColumnFormula>ROUNDDOWN(tbl_Office_Multi[[#This Row],[3.5* Max Energy (MJ)]]*tbl_Office_Multi[[Gas (%)]:[Gas (%)]],0)</calculatedColumnFormula>
    </tableColumn>
    <tableColumn id="114" xr3:uid="{26F627A9-EED8-4855-908C-61EDE413345E}" name="3.0* Max Gas (MJ)" dataDxfId="2046">
      <calculatedColumnFormula>ROUNDDOWN(tbl_Office_Multi[[#This Row],[3.0* Max Energy (MJ)]]*tbl_Office_Multi[[Gas (%)]:[Gas (%)]],0)</calculatedColumnFormula>
    </tableColumn>
    <tableColumn id="115" xr3:uid="{9EC7E9A5-7F9D-410B-A68B-0417EC846AEE}" name="2.5* Max Gas (MJ)" dataDxfId="2045">
      <calculatedColumnFormula>ROUNDDOWN(tbl_Office_Multi[[#This Row],[2.5* Max Energy (MJ)]]*tbl_Office_Multi[[Gas (%)]:[Gas (%)]],0)</calculatedColumnFormula>
    </tableColumn>
    <tableColumn id="116" xr3:uid="{B579E42E-1FF9-4B88-9620-AB9F4E6FE4B1}" name="2.0* Max Gas (MJ)" dataDxfId="2044">
      <calculatedColumnFormula>ROUNDDOWN(tbl_Office_Multi[[#This Row],[2.0* Max Energy (MJ)]]*tbl_Office_Multi[[Gas (%)]:[Gas (%)]],0)</calculatedColumnFormula>
    </tableColumn>
    <tableColumn id="117" xr3:uid="{B191D3E5-84A3-4ED9-A5EB-5E7FB3D10FA8}" name="1.5* Max Gas (MJ)" dataDxfId="2043">
      <calculatedColumnFormula>ROUNDDOWN(tbl_Office_Multi[[#This Row],[1.5* Max Energy (MJ)]]*tbl_Office_Multi[[Gas (%)]:[Gas (%)]],0)</calculatedColumnFormula>
    </tableColumn>
    <tableColumn id="118" xr3:uid="{D2964038-61A4-4D60-9285-A98FC2237C61}" name="1.0* Max Gas (MJ)" dataDxfId="2042">
      <calculatedColumnFormula>ROUNDDOWN(tbl_Office_Multi[[#This Row],[1.0* Max Energy (MJ)]]*tbl_Office_Multi[[Gas (%)]:[Gas (%)]],0)</calculatedColumnFormula>
    </tableColumn>
    <tableColumn id="216" xr3:uid="{88986A61-8275-4FF2-A190-CEEF76B6AB29}" name="0.0* Max Gas (MJ)" dataDxfId="2041">
      <calculatedColumnFormula>ROUNDDOWN(tbl_Office_Multi[[#This Row],[0.0* Max Energy (MJ)]]*tbl_Office_Multi[[Gas (%)]:[Gas (%)]],0)</calculatedColumnFormula>
    </tableColumn>
    <tableColumn id="119" xr3:uid="{1D850B02-2207-4C9A-8813-BDFEC97D7DCF}" name="6.0* Max Diesel (L)" dataDxfId="2040">
      <calculatedColumnFormula>ROUNDDOWN(tbl_Office_Multi[[#This Row],[6.0* Max Energy (MJ)]]*tbl_Office_Multi[[Diesel (%)]:[Diesel (%)]]/tbl_Office_Multi[[CFdiesel]:[CFdiesel]],0)</calculatedColumnFormula>
    </tableColumn>
    <tableColumn id="120" xr3:uid="{1C2FB817-0670-44A2-9CAA-57EDFB314FCD}" name="5.5* Max Diesel (L)" dataDxfId="2039">
      <calculatedColumnFormula>ROUNDDOWN(tbl_Office_Multi[[#This Row],[5.5* Max Energy (MJ)]]*tbl_Office_Multi[[Diesel (%)]:[Diesel (%)]]/tbl_Office_Multi[[CFdiesel]:[CFdiesel]],0)</calculatedColumnFormula>
    </tableColumn>
    <tableColumn id="121" xr3:uid="{F5009F18-71D1-48A0-813D-EB83421DF15A}" name="5.0* Max Diesel (L)" dataDxfId="2038">
      <calculatedColumnFormula>ROUNDDOWN(tbl_Office_Multi[[#This Row],[5.0* Max Energy (MJ)]]*tbl_Office_Multi[[Diesel (%)]:[Diesel (%)]]/tbl_Office_Multi[[CFdiesel]:[CFdiesel]],0)</calculatedColumnFormula>
    </tableColumn>
    <tableColumn id="122" xr3:uid="{BCD075EA-0293-41B9-BD7D-E74D7E4079B4}" name="4.5* Max Diesel (L)" dataDxfId="2037">
      <calculatedColumnFormula>ROUNDDOWN(tbl_Office_Multi[[#This Row],[4.5* Max Energy (MJ)]]*tbl_Office_Multi[[Diesel (%)]:[Diesel (%)]]/tbl_Office_Multi[[CFdiesel]:[CFdiesel]],0)</calculatedColumnFormula>
    </tableColumn>
    <tableColumn id="123" xr3:uid="{7CCA9062-6613-4724-B26D-D88845E46B21}" name="4.0* Max Diesel (L)" dataDxfId="2036">
      <calculatedColumnFormula>ROUNDDOWN(tbl_Office_Multi[[#This Row],[4.0* Max Energy (MJ)]]*tbl_Office_Multi[[Diesel (%)]:[Diesel (%)]]/tbl_Office_Multi[[CFdiesel]:[CFdiesel]],0)</calculatedColumnFormula>
    </tableColumn>
    <tableColumn id="124" xr3:uid="{084D8DD8-3DB3-467D-9A2D-F7DE8D15522C}" name="3.5* Max Diesel (L)" dataDxfId="2035">
      <calculatedColumnFormula>ROUNDDOWN(tbl_Office_Multi[[#This Row],[3.5* Max Energy (MJ)]]*tbl_Office_Multi[[Diesel (%)]:[Diesel (%)]]/tbl_Office_Multi[[CFdiesel]:[CFdiesel]],0)</calculatedColumnFormula>
    </tableColumn>
    <tableColumn id="125" xr3:uid="{FCCBCDE4-E914-41FC-AA34-A5CDD8181280}" name="3.0* Max Diesel (L)" dataDxfId="2034">
      <calculatedColumnFormula>ROUNDDOWN(tbl_Office_Multi[[#This Row],[3.0* Max Energy (MJ)]]*tbl_Office_Multi[[Diesel (%)]:[Diesel (%)]]/tbl_Office_Multi[[CFdiesel]:[CFdiesel]],0)</calculatedColumnFormula>
    </tableColumn>
    <tableColumn id="126" xr3:uid="{34F5C3EA-5A4B-44F9-91CF-19CF3EBA591F}" name="2.5* Max Diesel (L)" dataDxfId="2033">
      <calculatedColumnFormula>ROUNDDOWN(tbl_Office_Multi[[#This Row],[2.5* Max Energy (MJ)]]*tbl_Office_Multi[[Diesel (%)]:[Diesel (%)]]/tbl_Office_Multi[[CFdiesel]:[CFdiesel]],0)</calculatedColumnFormula>
    </tableColumn>
    <tableColumn id="127" xr3:uid="{31D9A0B0-4076-4E3C-BD81-DC91E57ED45E}" name="2.0* Max Diesel (L)" dataDxfId="2032">
      <calculatedColumnFormula>ROUNDDOWN(tbl_Office_Multi[[#This Row],[2.0* Max Energy (MJ)]]*tbl_Office_Multi[[Diesel (%)]:[Diesel (%)]]/tbl_Office_Multi[[CFdiesel]:[CFdiesel]],0)</calculatedColumnFormula>
    </tableColumn>
    <tableColumn id="128" xr3:uid="{5EAC4F16-9E02-4374-BF7E-A803D9F40508}" name="1.5* Max Diesel (L)" dataDxfId="2031">
      <calculatedColumnFormula>ROUNDDOWN(tbl_Office_Multi[[#This Row],[1.5* Max Energy (MJ)]]*tbl_Office_Multi[[Diesel (%)]:[Diesel (%)]]/tbl_Office_Multi[[CFdiesel]:[CFdiesel]],0)</calculatedColumnFormula>
    </tableColumn>
    <tableColumn id="129" xr3:uid="{9B2D37B1-9380-4C49-B117-893B06F0EC10}" name="1.0* Max Diesel (L)" dataDxfId="2030">
      <calculatedColumnFormula>ROUNDDOWN(tbl_Office_Multi[[#This Row],[1.0* Max Energy (MJ)]]*tbl_Office_Multi[[Diesel (%)]:[Diesel (%)]]/tbl_Office_Multi[[CFdiesel]:[CFdiesel]],0)</calculatedColumnFormula>
    </tableColumn>
    <tableColumn id="215" xr3:uid="{9F30C8A7-E0D2-4B87-A5B9-1087C990D5B4}" name="0.0* Max Diesel (L)" dataDxfId="2029">
      <calculatedColumnFormula>ROUNDDOWN(tbl_Office_Multi[[#This Row],[0.0* Max Energy (MJ)]]*tbl_Office_Multi[[Diesel (%)]:[Diesel (%)]]/tbl_Office_Multi[[CFdiesel]:[CFdiesel]],0)</calculatedColumnFormula>
    </tableColumn>
    <tableColumn id="180" xr3:uid="{0750996A-7D26-4070-9C8E-760A704E0919}" name="6.0* w1" dataDxfId="2028">
      <calculatedColumnFormula>IF(LEFT(tbl_Office_Multi[[#Headers],[6.0* w1]],3)*1&lt;=5,tbl_Office_Multi[[M star]:[M star]]-((LEFT(tbl_Office_Multi[[#Headers],[6.0* w1]],3)*1-IF(LEFT(tbl_Office_Multi[[#Headers],[6.0* w1]],3)*1=5,Office_C_W_R_star_rating_offset_at_5_stars,Office_C_W_R_star_rating_offset))/Office_C_W_Median_Rating-1)*(tbl_Office_Multi[[M star]:[M star]]-tbl_Office_Multi[[Alpha star]:[Alpha star]]),"N/A")</calculatedColumnFormula>
    </tableColumn>
    <tableColumn id="184" xr3:uid="{5B3DFC02-907C-47A3-930D-56A38F67588D}" name="5.5* w1" dataDxfId="2027">
      <calculatedColumnFormula>IF(LEFT(tbl_Office_Multi[[#Headers],[5.5* w1]],3)*1&lt;=5,tbl_Office_Multi[[M star]:[M star]]-((LEFT(tbl_Office_Multi[[#Headers],[5.5* w1]],3)*1-IF(LEFT(tbl_Office_Multi[[#Headers],[5.5* w1]],3)*1=5,Office_C_W_R_star_rating_offset_at_5_stars,Office_C_W_R_star_rating_offset))/Office_C_W_Median_Rating-1)*(tbl_Office_Multi[[M star]:[M star]]-tbl_Office_Multi[[Alpha star]:[Alpha star]]),"N/A")</calculatedColumnFormula>
    </tableColumn>
    <tableColumn id="189" xr3:uid="{CEB6F061-50FC-45F9-BF92-8427A41178D4}" name="5.0* w1" dataDxfId="2026">
      <calculatedColumnFormula>IF(LEFT(tbl_Office_Multi[[#Headers],[5.0* w1]],3)*1&lt;=5,tbl_Office_Multi[[M star]:[M star]]-((LEFT(tbl_Office_Multi[[#Headers],[5.0* w1]],3)*1-IF(LEFT(tbl_Office_Multi[[#Headers],[5.0* w1]],3)*1=5,Office_C_W_R_star_rating_offset_at_5_stars,Office_C_W_R_star_rating_offset))/Office_C_W_Median_Rating-1)*(tbl_Office_Multi[[M star]:[M star]]-tbl_Office_Multi[[Alpha star]:[Alpha star]]),"N/A")</calculatedColumnFormula>
    </tableColumn>
    <tableColumn id="207" xr3:uid="{8472F73D-6196-405E-85BD-7739F7FADA64}" name="4.5* w1" dataDxfId="2025">
      <calculatedColumnFormula>IF(LEFT(tbl_Office_Multi[[#Headers],[4.5* w1]],3)*1&lt;=5,tbl_Office_Multi[[M star]:[M star]]-((LEFT(tbl_Office_Multi[[#Headers],[4.5* w1]],3)*1-IF(LEFT(tbl_Office_Multi[[#Headers],[4.5* w1]],3)*1=5,Office_C_W_R_star_rating_offset_at_5_stars,Office_C_W_R_star_rating_offset))/Office_C_W_Median_Rating-1)*(tbl_Office_Multi[[M star]:[M star]]-tbl_Office_Multi[[Alpha star]:[Alpha star]]),"N/A")</calculatedColumnFormula>
    </tableColumn>
    <tableColumn id="132" xr3:uid="{29B2E7F7-7C3F-4C3D-B369-1F1E3FA48506}" name="4.0* w1" dataDxfId="2024">
      <calculatedColumnFormula>IF(LEFT(tbl_Office_Multi[[#Headers],[4.0* w1]],3)*1&lt;=5,tbl_Office_Multi[[M star]:[M star]]-((LEFT(tbl_Office_Multi[[#Headers],[4.0* w1]],3)*1-IF(LEFT(tbl_Office_Multi[[#Headers],[4.0* w1]],3)*1=5,Office_C_W_R_star_rating_offset_at_5_stars,Office_C_W_R_star_rating_offset))/Office_C_W_Median_Rating-1)*(tbl_Office_Multi[[M star]:[M star]]-tbl_Office_Multi[[Alpha star]:[Alpha star]]),"N/A")</calculatedColumnFormula>
    </tableColumn>
    <tableColumn id="133" xr3:uid="{A68E684B-3538-477F-8C67-95F6538ACF9B}" name="3.5* w1" dataDxfId="2023">
      <calculatedColumnFormula>IF(LEFT(tbl_Office_Multi[[#Headers],[3.5* w1]],3)*1&lt;=5,tbl_Office_Multi[[M star]:[M star]]-((LEFT(tbl_Office_Multi[[#Headers],[3.5* w1]],3)*1-IF(LEFT(tbl_Office_Multi[[#Headers],[3.5* w1]],3)*1=5,Office_C_W_R_star_rating_offset_at_5_stars,Office_C_W_R_star_rating_offset))/Office_C_W_Median_Rating-1)*(tbl_Office_Multi[[M star]:[M star]]-tbl_Office_Multi[[Alpha star]:[Alpha star]]),"N/A")</calculatedColumnFormula>
    </tableColumn>
    <tableColumn id="134" xr3:uid="{C6DCC487-A46C-45C5-A772-4E61EA7EF5EF}" name="3.0* w1" dataDxfId="2022">
      <calculatedColumnFormula>IF(LEFT(tbl_Office_Multi[[#Headers],[3.0* w1]],3)*1&lt;=5,tbl_Office_Multi[[M star]:[M star]]-((LEFT(tbl_Office_Multi[[#Headers],[3.0* w1]],3)*1-IF(LEFT(tbl_Office_Multi[[#Headers],[3.0* w1]],3)*1=5,Office_C_W_R_star_rating_offset_at_5_stars,Office_C_W_R_star_rating_offset))/Office_C_W_Median_Rating-1)*(tbl_Office_Multi[[M star]:[M star]]-tbl_Office_Multi[[Alpha star]:[Alpha star]]),"N/A")</calculatedColumnFormula>
    </tableColumn>
    <tableColumn id="135" xr3:uid="{6A5042E7-AFF2-43F2-B656-01B461369121}" name="2.5* w1" dataDxfId="2021">
      <calculatedColumnFormula>IF(LEFT(tbl_Office_Multi[[#Headers],[2.5* w1]],3)*1&lt;=5,tbl_Office_Multi[[M star]:[M star]]-((LEFT(tbl_Office_Multi[[#Headers],[2.5* w1]],3)*1-IF(LEFT(tbl_Office_Multi[[#Headers],[2.5* w1]],3)*1=5,Office_C_W_R_star_rating_offset_at_5_stars,Office_C_W_R_star_rating_offset))/Office_C_W_Median_Rating-1)*(tbl_Office_Multi[[M star]:[M star]]-tbl_Office_Multi[[Alpha star]:[Alpha star]]),"N/A")</calculatedColumnFormula>
    </tableColumn>
    <tableColumn id="136" xr3:uid="{794BF3A9-E00F-4478-8C5B-B4C0B64E7C05}" name="2.0* w1" dataDxfId="2020">
      <calculatedColumnFormula>IF(LEFT(tbl_Office_Multi[[#Headers],[2.0* w1]],3)*1&lt;=5,tbl_Office_Multi[[M star]:[M star]]-((LEFT(tbl_Office_Multi[[#Headers],[2.0* w1]],3)*1-IF(LEFT(tbl_Office_Multi[[#Headers],[2.0* w1]],3)*1=5,Office_C_W_R_star_rating_offset_at_5_stars,Office_C_W_R_star_rating_offset))/Office_C_W_Median_Rating-1)*(tbl_Office_Multi[[M star]:[M star]]-tbl_Office_Multi[[Alpha star]:[Alpha star]]),"N/A")</calculatedColumnFormula>
    </tableColumn>
    <tableColumn id="137" xr3:uid="{FCFB03B1-8169-4C58-9385-23B3EA22F431}" name="1.5* w1" dataDxfId="2019">
      <calculatedColumnFormula>IF(LEFT(tbl_Office_Multi[[#Headers],[1.5* w1]],3)*1&lt;=5,tbl_Office_Multi[[M star]:[M star]]-((LEFT(tbl_Office_Multi[[#Headers],[1.5* w1]],3)*1-IF(LEFT(tbl_Office_Multi[[#Headers],[1.5* w1]],3)*1=5,Office_C_W_R_star_rating_offset_at_5_stars,Office_C_W_R_star_rating_offset))/Office_C_W_Median_Rating-1)*(tbl_Office_Multi[[M star]:[M star]]-tbl_Office_Multi[[Alpha star]:[Alpha star]]),"N/A")</calculatedColumnFormula>
    </tableColumn>
    <tableColumn id="138" xr3:uid="{10E5446E-0A66-4B41-B4A5-12E462B96CD4}" name="1.0* w1" dataDxfId="2018">
      <calculatedColumnFormula>IF(LEFT(tbl_Office_Multi[[#Headers],[1.0* w1]],3)*1&lt;=5,tbl_Office_Multi[[M star]:[M star]]-((LEFT(tbl_Office_Multi[[#Headers],[1.0* w1]],3)*1-IF(LEFT(tbl_Office_Multi[[#Headers],[1.0* w1]],3)*1=5,Office_C_W_R_star_rating_offset_at_5_stars,Office_C_W_R_star_rating_offset))/Office_C_W_Median_Rating-1)*(tbl_Office_Multi[[M star]:[M star]]-tbl_Office_Multi[[Alpha star]:[Alpha star]]),"N/A")</calculatedColumnFormula>
    </tableColumn>
    <tableColumn id="209" xr3:uid="{6A88D406-931C-4183-80AD-F2FCA901284E}" name="0.0* w1" dataDxfId="2017">
      <calculatedColumnFormula>IF(LEFT(tbl_Office_Multi[[#Headers],[0.0* w1]],3)*1&lt;=5,tbl_Office_Multi[[M star]:[M star]]-((LEFT(tbl_Office_Multi[[#Headers],[0.0* w1]],3)*1-IF(LEFT(tbl_Office_Multi[[#Headers],[0.0* w1]],3)*1=5,Office_C_W_R_star_rating_offset_at_5_stars,Office_C_W_R_star_rating_offset))/Office_C_W_Median_Rating-1)*(tbl_Office_Multi[[M star]:[M star]]-tbl_Office_Multi[[Alpha star]:[Alpha star]]),"N/A")</calculatedColumnFormula>
    </tableColumn>
    <tableColumn id="139" xr3:uid="{55466776-A9DF-4750-9858-46F715BC7447}" name="6.0* w2" dataDxfId="2016">
      <calculatedColumnFormula>IF(LEFT(tbl_Office_Multi[[#Headers],[6.0* w2]],3)*1&lt;=5,Office_C_W_M_star_Intercept+Office_C_W_Alpha_Star_Hrs_Coefficient*(tbl_Office_Multi[[Hrs]:[Hrs]]-Office_C_W_Hrs_Offset)-Office_C_W2_Hrs_Ratio*((LEFT(tbl_Office_Multi[[#Headers],[6.0* w2]],3)*1-IF(LEFT(tbl_Office_Multi[[#Headers],[6.0* w2]],3)*1=5,Office_C_W_R_star_rating_offset_at_5_stars,Office_C_W_R_star_rating_offset))/Office_C_W_Median_Rating-1),"N/A")</calculatedColumnFormula>
    </tableColumn>
    <tableColumn id="140" xr3:uid="{DDB12A4C-17AB-4656-A148-BD10693415D1}" name="5.5* w2" dataDxfId="2015">
      <calculatedColumnFormula>IF(LEFT(tbl_Office_Multi[[#Headers],[5.5* w2]],3)*1&lt;=5,Office_C_W_M_star_Intercept+Office_C_W_Alpha_Star_Hrs_Coefficient*(tbl_Office_Multi[[Hrs]:[Hrs]]-Office_C_W_Hrs_Offset)-Office_C_W2_Hrs_Ratio*((LEFT(tbl_Office_Multi[[#Headers],[5.5* w2]],3)*1-IF(LEFT(tbl_Office_Multi[[#Headers],[5.5* w2]],3)*1=5,Office_C_W_R_star_rating_offset_at_5_stars,Office_C_W_R_star_rating_offset))/Office_C_W_Median_Rating-1),"N/A")</calculatedColumnFormula>
    </tableColumn>
    <tableColumn id="144" xr3:uid="{32A696C7-7162-4B29-A16A-23FF951915D3}" name="5.0* w2" dataDxfId="2014">
      <calculatedColumnFormula>IF(LEFT(tbl_Office_Multi[[#Headers],[5.0* w2]],3)*1&lt;=5,Office_C_W_M_star_Intercept+Office_C_W_Alpha_Star_Hrs_Coefficient*(tbl_Office_Multi[[Hrs]:[Hrs]]-Office_C_W_Hrs_Offset)-Office_C_W2_Hrs_Ratio*((LEFT(tbl_Office_Multi[[#Headers],[5.0* w2]],3)*1-IF(LEFT(tbl_Office_Multi[[#Headers],[5.0* w2]],3)*1=5,Office_C_W_R_star_rating_offset_at_5_stars,Office_C_W_R_star_rating_offset))/Office_C_W_Median_Rating-1),"N/A")</calculatedColumnFormula>
    </tableColumn>
    <tableColumn id="147" xr3:uid="{10368EBE-C92A-4E79-9232-5B2B00C1954C}" name="4.5* w2" dataDxfId="2013">
      <calculatedColumnFormula>IF(LEFT(tbl_Office_Multi[[#Headers],[4.5* w2]],3)*1&lt;=5,Office_C_W_M_star_Intercept+Office_C_W_Alpha_Star_Hrs_Coefficient*(tbl_Office_Multi[[Hrs]:[Hrs]]-Office_C_W_Hrs_Offset)-Office_C_W2_Hrs_Ratio*((LEFT(tbl_Office_Multi[[#Headers],[4.5* w2]],3)*1-IF(LEFT(tbl_Office_Multi[[#Headers],[4.5* w2]],3)*1=5,Office_C_W_R_star_rating_offset_at_5_stars,Office_C_W_R_star_rating_offset))/Office_C_W_Median_Rating-1),"N/A")</calculatedColumnFormula>
    </tableColumn>
    <tableColumn id="148" xr3:uid="{269D048B-1BA6-4CB7-A040-5E0F241629FF}" name="4.0* w2" dataDxfId="2012">
      <calculatedColumnFormula>IF(LEFT(tbl_Office_Multi[[#Headers],[4.0* w2]],3)*1&lt;=5,Office_C_W_M_star_Intercept+Office_C_W_Alpha_Star_Hrs_Coefficient*(tbl_Office_Multi[[Hrs]:[Hrs]]-Office_C_W_Hrs_Offset)-Office_C_W2_Hrs_Ratio*((LEFT(tbl_Office_Multi[[#Headers],[4.0* w2]],3)*1-IF(LEFT(tbl_Office_Multi[[#Headers],[4.0* w2]],3)*1=5,Office_C_W_R_star_rating_offset_at_5_stars,Office_C_W_R_star_rating_offset))/Office_C_W_Median_Rating-1),"N/A")</calculatedColumnFormula>
    </tableColumn>
    <tableColumn id="149" xr3:uid="{18A7D200-FD2D-4A71-9E08-68D60D9F9444}" name="3.5* w2" dataDxfId="2011">
      <calculatedColumnFormula>IF(LEFT(tbl_Office_Multi[[#Headers],[3.5* w2]],3)*1&lt;=5,Office_C_W_M_star_Intercept+Office_C_W_Alpha_Star_Hrs_Coefficient*(tbl_Office_Multi[[Hrs]:[Hrs]]-Office_C_W_Hrs_Offset)-Office_C_W2_Hrs_Ratio*((LEFT(tbl_Office_Multi[[#Headers],[3.5* w2]],3)*1-IF(LEFT(tbl_Office_Multi[[#Headers],[3.5* w2]],3)*1=5,Office_C_W_R_star_rating_offset_at_5_stars,Office_C_W_R_star_rating_offset))/Office_C_W_Median_Rating-1),"N/A")</calculatedColumnFormula>
    </tableColumn>
    <tableColumn id="150" xr3:uid="{4ED9C9EE-1091-4D94-B568-6F1155E26E5A}" name="3.0* w2" dataDxfId="2010">
      <calculatedColumnFormula>IF(LEFT(tbl_Office_Multi[[#Headers],[3.0* w2]],3)*1&lt;=5,Office_C_W_M_star_Intercept+Office_C_W_Alpha_Star_Hrs_Coefficient*(tbl_Office_Multi[[Hrs]:[Hrs]]-Office_C_W_Hrs_Offset)-Office_C_W2_Hrs_Ratio*((LEFT(tbl_Office_Multi[[#Headers],[3.0* w2]],3)*1-IF(LEFT(tbl_Office_Multi[[#Headers],[3.0* w2]],3)*1=5,Office_C_W_R_star_rating_offset_at_5_stars,Office_C_W_R_star_rating_offset))/Office_C_W_Median_Rating-1),"N/A")</calculatedColumnFormula>
    </tableColumn>
    <tableColumn id="153" xr3:uid="{F1C60548-A01A-4D55-BCE8-3AC78C62BF63}" name="2.5* w2" dataDxfId="2009">
      <calculatedColumnFormula>IF(LEFT(tbl_Office_Multi[[#Headers],[2.5* w2]],3)*1&lt;=5,Office_C_W_M_star_Intercept+Office_C_W_Alpha_Star_Hrs_Coefficient*(tbl_Office_Multi[[Hrs]:[Hrs]]-Office_C_W_Hrs_Offset)-Office_C_W2_Hrs_Ratio*((LEFT(tbl_Office_Multi[[#Headers],[2.5* w2]],3)*1-IF(LEFT(tbl_Office_Multi[[#Headers],[2.5* w2]],3)*1=5,Office_C_W_R_star_rating_offset_at_5_stars,Office_C_W_R_star_rating_offset))/Office_C_W_Median_Rating-1),"N/A")</calculatedColumnFormula>
    </tableColumn>
    <tableColumn id="168" xr3:uid="{AC39C130-C5A3-4C8A-88D7-286946747A12}" name="2.0* w2" dataDxfId="2008">
      <calculatedColumnFormula>IF(LEFT(tbl_Office_Multi[[#Headers],[2.0* w2]],3)*1&lt;=5,Office_C_W_M_star_Intercept+Office_C_W_Alpha_Star_Hrs_Coefficient*(tbl_Office_Multi[[Hrs]:[Hrs]]-Office_C_W_Hrs_Offset)-Office_C_W2_Hrs_Ratio*((LEFT(tbl_Office_Multi[[#Headers],[2.0* w2]],3)*1-IF(LEFT(tbl_Office_Multi[[#Headers],[2.0* w2]],3)*1=5,Office_C_W_R_star_rating_offset_at_5_stars,Office_C_W_R_star_rating_offset))/Office_C_W_Median_Rating-1),"N/A")</calculatedColumnFormula>
    </tableColumn>
    <tableColumn id="169" xr3:uid="{C2A59771-17A3-410A-ADAD-7DBD53425381}" name="1.5* w2" dataDxfId="2007">
      <calculatedColumnFormula>IF(LEFT(tbl_Office_Multi[[#Headers],[1.5* w2]],3)*1&lt;=5,Office_C_W_M_star_Intercept+Office_C_W_Alpha_Star_Hrs_Coefficient*(tbl_Office_Multi[[Hrs]:[Hrs]]-Office_C_W_Hrs_Offset)-Office_C_W2_Hrs_Ratio*((LEFT(tbl_Office_Multi[[#Headers],[1.5* w2]],3)*1-IF(LEFT(tbl_Office_Multi[[#Headers],[1.5* w2]],3)*1=5,Office_C_W_R_star_rating_offset_at_5_stars,Office_C_W_R_star_rating_offset))/Office_C_W_Median_Rating-1),"N/A")</calculatedColumnFormula>
    </tableColumn>
    <tableColumn id="176" xr3:uid="{327E2598-CDDD-46C6-90EB-72FCA51401F6}" name="1.0* w2" dataDxfId="2006">
      <calculatedColumnFormula>IF(LEFT(tbl_Office_Multi[[#Headers],[1.0* w2]],3)*1&lt;=5,Office_C_W_M_star_Intercept+Office_C_W_Alpha_Star_Hrs_Coefficient*(tbl_Office_Multi[[Hrs]:[Hrs]]-Office_C_W_Hrs_Offset)-Office_C_W2_Hrs_Ratio*((LEFT(tbl_Office_Multi[[#Headers],[1.0* w2]],3)*1-IF(LEFT(tbl_Office_Multi[[#Headers],[1.0* w2]],3)*1=5,Office_C_W_R_star_rating_offset_at_5_stars,Office_C_W_R_star_rating_offset))/Office_C_W_Median_Rating-1),"N/A")</calculatedColumnFormula>
    </tableColumn>
    <tableColumn id="208" xr3:uid="{1AC87122-FC31-424E-A312-E768EB99D738}" name="0.0* w2" dataDxfId="2005">
      <calculatedColumnFormula>IF(LEFT(tbl_Office_Multi[[#Headers],[0.0* w2]],3)*1&lt;=5,Office_C_W_M_star_Intercept+Office_C_W_Alpha_Star_Hrs_Coefficient*(tbl_Office_Multi[[Hrs]:[Hrs]]-Office_C_W_Hrs_Offset)-Office_C_W2_Hrs_Ratio*((LEFT(tbl_Office_Multi[[#Headers],[0.0* w2]],3)*1-IF(LEFT(tbl_Office_Multi[[#Headers],[0.0* w2]],3)*1=5,Office_C_W_R_star_rating_offset_at_5_stars,Office_C_W_R_star_rating_offset))/Office_C_W_Median_Rating-1),"N/A")</calculatedColumnFormula>
    </tableColumn>
    <tableColumn id="39" xr3:uid="{30464C79-A2E1-49E8-97EF-B2EF976C2CC7}" name="6.0* Max Water (kL/m²)" dataDxfId="2004">
      <calculatedColumnFormula>IF(LEFT(tbl_Office_Multi[[#Headers],[6.0* Max Water (kL/m²)]],3)*1&lt;=5,IF(tbl_Office_Multi[[#This Row],[6.0* w1]]&gt;=tbl_Office_Multi[[Alpha star]:[Alpha star]],tbl_Office_Multi[[#This Row],[6.0* w1]],tbl_Office_Multi[[#This Row],[6.0* w2]]),
((7-LEFT(tbl_Office_Multi[[#Headers],[6.0* Max Water (kL/m²)]],3)*1)/2)*tbl_Office_Multi[[wat_5stars]:[wat_5stars]])</calculatedColumnFormula>
    </tableColumn>
    <tableColumn id="40" xr3:uid="{F0A8CF69-5940-42BC-8CEA-124C3B933ADD}" name="5.5* Max Water (kL/m²)" dataDxfId="2003">
      <calculatedColumnFormula>IF(LEFT(tbl_Office_Multi[[#Headers],[5.5* Max Water (kL/m²)]],3)*1&lt;=5,IF(tbl_Office_Multi[[#This Row],[5.5* w1]]&gt;=tbl_Office_Multi[[Alpha star]:[Alpha star]],tbl_Office_Multi[[#This Row],[5.5* w1]],tbl_Office_Multi[[#This Row],[5.5* w2]]),
((7-LEFT(tbl_Office_Multi[[#Headers],[5.5* Max Water (kL/m²)]],3)*1)/2)*tbl_Office_Multi[[wat_5stars]:[wat_5stars]])</calculatedColumnFormula>
    </tableColumn>
    <tableColumn id="41" xr3:uid="{354AF515-1689-459B-B455-FAE7844E4E6B}" name="5.0* Max Water (kL/m²)" dataDxfId="2002">
      <calculatedColumnFormula>IF(LEFT(tbl_Office_Multi[[#Headers],[5.0* Max Water (kL/m²)]],3)*1&lt;=5,IF(tbl_Office_Multi[[#This Row],[5.0* w1]]&gt;=tbl_Office_Multi[[Alpha star]:[Alpha star]],tbl_Office_Multi[[#This Row],[5.0* w1]],tbl_Office_Multi[[#This Row],[5.0* w2]]),
((7-LEFT(tbl_Office_Multi[[#Headers],[5.0* Max Water (kL/m²)]],3)*1)/2)*tbl_Office_Multi[[wat_5stars]:[wat_5stars]])</calculatedColumnFormula>
    </tableColumn>
    <tableColumn id="42" xr3:uid="{357EB91A-1613-45AC-B8F4-6938263CE2B9}" name="4.5* Max Water (kL/m²)" dataDxfId="2001">
      <calculatedColumnFormula>IF(LEFT(tbl_Office_Multi[[#Headers],[4.5* Max Water (kL/m²)]],3)*1&lt;=5,IF(tbl_Office_Multi[[#This Row],[4.5* w1]]&gt;=tbl_Office_Multi[[Alpha star]:[Alpha star]],tbl_Office_Multi[[#This Row],[4.5* w1]],tbl_Office_Multi[[#This Row],[4.5* w2]]),
((7-LEFT(tbl_Office_Multi[[#Headers],[4.5* Max Water (kL/m²)]],3)*1)/2)*tbl_Office_Multi[[wat_5stars]:[wat_5stars]])</calculatedColumnFormula>
    </tableColumn>
    <tableColumn id="43" xr3:uid="{F0C138B3-84A7-4499-9A90-46FA2115BE28}" name="4.0* Max Water (kL/m²)" dataDxfId="2000">
      <calculatedColumnFormula>IF(LEFT(tbl_Office_Multi[[#Headers],[4.0* Max Water (kL/m²)]],3)*1&lt;=5,IF(tbl_Office_Multi[[#This Row],[4.0* w1]]&gt;=tbl_Office_Multi[[Alpha star]:[Alpha star]],tbl_Office_Multi[[#This Row],[4.0* w1]],tbl_Office_Multi[[#This Row],[4.0* w2]]),
((7-LEFT(tbl_Office_Multi[[#Headers],[4.0* Max Water (kL/m²)]],3)*1)/2)*tbl_Office_Multi[[wat_5stars]:[wat_5stars]])</calculatedColumnFormula>
    </tableColumn>
    <tableColumn id="44" xr3:uid="{BC2E54B1-0B67-41A2-81A2-9E0220FA600D}" name="3.5* Max Water (kL/m²)" dataDxfId="1999">
      <calculatedColumnFormula>IF(LEFT(tbl_Office_Multi[[#Headers],[3.5* Max Water (kL/m²)]],3)*1&lt;=5,IF(tbl_Office_Multi[[#This Row],[3.5* w1]]&gt;=tbl_Office_Multi[[Alpha star]:[Alpha star]],tbl_Office_Multi[[#This Row],[3.5* w1]],tbl_Office_Multi[[#This Row],[3.5* w2]]),
((7-LEFT(tbl_Office_Multi[[#Headers],[3.5* Max Water (kL/m²)]],3)*1)/2)*tbl_Office_Multi[[wat_5stars]:[wat_5stars]])</calculatedColumnFormula>
    </tableColumn>
    <tableColumn id="46" xr3:uid="{1CF4BB3D-BCE7-4EC5-9BD6-60200ECF6D51}" name="3.0* Max Water (kL/m²)" dataDxfId="1998">
      <calculatedColumnFormula>IF(LEFT(tbl_Office_Multi[[#Headers],[3.0* Max Water (kL/m²)]],3)*1&lt;=5,IF(tbl_Office_Multi[[#This Row],[3.0* w1]]&gt;=tbl_Office_Multi[[Alpha star]:[Alpha star]],tbl_Office_Multi[[#This Row],[3.0* w1]],tbl_Office_Multi[[#This Row],[3.0* w2]]),
((7-LEFT(tbl_Office_Multi[[#Headers],[3.0* Max Water (kL/m²)]],3)*1)/2)*tbl_Office_Multi[[wat_5stars]:[wat_5stars]])</calculatedColumnFormula>
    </tableColumn>
    <tableColumn id="47" xr3:uid="{3DB98490-CA22-416D-A442-AE4433CA0A0A}" name="2.5* Max Water (kL/m²)" dataDxfId="1997">
      <calculatedColumnFormula>IF(LEFT(tbl_Office_Multi[[#Headers],[2.5* Max Water (kL/m²)]],3)*1&lt;=5,IF(tbl_Office_Multi[[#This Row],[2.5* w1]]&gt;=tbl_Office_Multi[[Alpha star]:[Alpha star]],tbl_Office_Multi[[#This Row],[2.5* w1]],tbl_Office_Multi[[#This Row],[2.5* w2]]),
((7-LEFT(tbl_Office_Multi[[#Headers],[2.5* Max Water (kL/m²)]],3)*1)/2)*tbl_Office_Multi[[wat_5stars]:[wat_5stars]])</calculatedColumnFormula>
    </tableColumn>
    <tableColumn id="50" xr3:uid="{589D9DEE-3600-477A-AA8B-604E8B7961C3}" name="2.0* Max Water (kL/m²)" dataDxfId="1996">
      <calculatedColumnFormula>IF(LEFT(tbl_Office_Multi[[#Headers],[2.0* Max Water (kL/m²)]],3)*1&lt;=5,IF(tbl_Office_Multi[[#This Row],[2.0* w1]]&gt;=tbl_Office_Multi[[Alpha star]:[Alpha star]],tbl_Office_Multi[[#This Row],[2.0* w1]],tbl_Office_Multi[[#This Row],[2.0* w2]]),
((7-LEFT(tbl_Office_Multi[[#Headers],[2.0* Max Water (kL/m²)]],3)*1)/2)*tbl_Office_Multi[[wat_5stars]:[wat_5stars]])</calculatedColumnFormula>
    </tableColumn>
    <tableColumn id="130" xr3:uid="{19ABF682-3633-468B-93C7-89CF53B59708}" name="1.5* Max Water (kL/m²)" dataDxfId="1995">
      <calculatedColumnFormula>IF(LEFT(tbl_Office_Multi[[#Headers],[1.5* Max Water (kL/m²)]],3)*1&lt;=5,IF(tbl_Office_Multi[[#This Row],[1.5* w1]]&gt;=tbl_Office_Multi[[Alpha star]:[Alpha star]],tbl_Office_Multi[[#This Row],[1.5* w1]],tbl_Office_Multi[[#This Row],[1.5* w2]]),
((7-LEFT(tbl_Office_Multi[[#Headers],[1.5* Max Water (kL/m²)]],3)*1)/2)*tbl_Office_Multi[[wat_5stars]:[wat_5stars]])</calculatedColumnFormula>
    </tableColumn>
    <tableColumn id="131" xr3:uid="{11F8C911-4C7C-4A57-B748-B619962B6BFD}" name="1.0* Max Water (kL/m²)" dataDxfId="1994">
      <calculatedColumnFormula>IF(LEFT(tbl_Office_Multi[[#Headers],[1.0* Max Water (kL/m²)]],3)*1&lt;=5,IF(tbl_Office_Multi[[#This Row],[1.0* w1]]&gt;=tbl_Office_Multi[[Alpha star]:[Alpha star]],tbl_Office_Multi[[#This Row],[1.0* w1]],tbl_Office_Multi[[#This Row],[1.0* w2]]),
((7-LEFT(tbl_Office_Multi[[#Headers],[1.0* Max Water (kL/m²)]],3)*1)/2)*tbl_Office_Multi[[wat_5stars]:[wat_5stars]])</calculatedColumnFormula>
    </tableColumn>
    <tableColumn id="192" xr3:uid="{6954F8BD-E721-4A5E-B185-8D780A677E76}" name="0.0* Max Water (kL/m²)" dataDxfId="1993">
      <calculatedColumnFormula>IF(LEFT(tbl_Office_Multi[[#Headers],[0.0* Max Water (kL/m²)]],3)*1&lt;=5,IF(tbl_Office_Multi[[#This Row],[0.0* w1]]&gt;=tbl_Office_Multi[[Alpha star]:[Alpha star]],tbl_Office_Multi[[#This Row],[0.0* w1]],tbl_Office_Multi[[#This Row],[0.0* w2]]),
((7-LEFT(tbl_Office_Multi[[#Headers],[0.0* Max Water (kL/m²)]],3)*1)/2)*tbl_Office_Multi[[wat_5stars]:[wat_5stars]])</calculatedColumnFormula>
    </tableColumn>
    <tableColumn id="193" xr3:uid="{B864816A-8D96-4585-BEB6-9866F5A1D85A}" name="6.0* Max Water (kL)" dataDxfId="1992">
      <calculatedColumnFormula>ROUNDDOWN(tbl_Office_Multi[[#This Row],[6.0* Max Water (kL/m²)]]*tbl_Office_Multi[[NLA]:[NLA]],0)</calculatedColumnFormula>
    </tableColumn>
    <tableColumn id="194" xr3:uid="{237A33A1-5DFF-4B7F-8281-F45FBDA8A829}" name="5.5* Max Water (kL)" dataDxfId="1991">
      <calculatedColumnFormula>ROUNDDOWN(tbl_Office_Multi[[#This Row],[5.5* Max Water (kL/m²)]]*tbl_Office_Multi[[NLA]:[NLA]],0)</calculatedColumnFormula>
    </tableColumn>
    <tableColumn id="195" xr3:uid="{809D73DF-E6A4-4E76-A32E-2EA84DEC00CC}" name="5.0* Max Water (kL)" dataDxfId="1990">
      <calculatedColumnFormula>ROUNDDOWN(tbl_Office_Multi[[#This Row],[5.0* Max Water (kL/m²)]]*tbl_Office_Multi[[NLA]:[NLA]],0)</calculatedColumnFormula>
    </tableColumn>
    <tableColumn id="196" xr3:uid="{A762D1F1-846D-4CCF-B81C-AF94434133FD}" name="4.5* Max Water (kL)" dataDxfId="1989">
      <calculatedColumnFormula>ROUNDDOWN(tbl_Office_Multi[[#This Row],[4.5* Max Water (kL/m²)]]*tbl_Office_Multi[[NLA]:[NLA]],0)</calculatedColumnFormula>
    </tableColumn>
    <tableColumn id="197" xr3:uid="{99EFF3E8-57D4-487D-A682-4BC890607A88}" name="4.0* Max Water (kL)" dataDxfId="1988">
      <calculatedColumnFormula>ROUNDDOWN(tbl_Office_Multi[[#This Row],[4.0* Max Water (kL/m²)]]*tbl_Office_Multi[[NLA]:[NLA]],0)</calculatedColumnFormula>
    </tableColumn>
    <tableColumn id="198" xr3:uid="{58477568-DB0C-43F3-86FD-75F005CB76CF}" name="3.5* Max Water (kL)" dataDxfId="1987">
      <calculatedColumnFormula>ROUNDDOWN(tbl_Office_Multi[[#This Row],[3.5* Max Water (kL/m²)]]*tbl_Office_Multi[[NLA]:[NLA]],0)</calculatedColumnFormula>
    </tableColumn>
    <tableColumn id="199" xr3:uid="{9E348548-660D-4BB8-8CC2-CDD29BD07401}" name="3.0* Max Water (kL)" dataDxfId="1986">
      <calculatedColumnFormula>ROUNDDOWN(tbl_Office_Multi[[#This Row],[3.0* Max Water (kL/m²)]]*tbl_Office_Multi[[NLA]:[NLA]],0)</calculatedColumnFormula>
    </tableColumn>
    <tableColumn id="200" xr3:uid="{47E98EB5-F181-4B00-B4B9-F609BA242F93}" name="2.5* Max Water (kL)" dataDxfId="1985">
      <calculatedColumnFormula>ROUNDDOWN(tbl_Office_Multi[[#This Row],[2.5* Max Water (kL/m²)]]*tbl_Office_Multi[[NLA]:[NLA]],0)</calculatedColumnFormula>
    </tableColumn>
    <tableColumn id="201" xr3:uid="{8DA77BC6-CC40-4DE7-93E4-2915DD81E305}" name="2.0* Max Water (kL)" dataDxfId="1984">
      <calculatedColumnFormula>ROUNDDOWN(tbl_Office_Multi[[#This Row],[2.0* Max Water (kL/m²)]]*tbl_Office_Multi[[NLA]:[NLA]],0)</calculatedColumnFormula>
    </tableColumn>
    <tableColumn id="202" xr3:uid="{9E2ED041-3142-4BFB-A77A-33FCC6E64886}" name="1.5* Max Water (kL)" dataDxfId="1983">
      <calculatedColumnFormula>ROUNDDOWN(tbl_Office_Multi[[#This Row],[1.5* Max Water (kL/m²)]]*tbl_Office_Multi[[NLA]:[NLA]],0)</calculatedColumnFormula>
    </tableColumn>
    <tableColumn id="203" xr3:uid="{87DDEED3-9BBC-491C-8B39-329292BC3871}" name="1.0* Max Water (kL)" dataDxfId="1982">
      <calculatedColumnFormula>ROUNDDOWN(tbl_Office_Multi[[#This Row],[1.0* Max Water (kL/m²)]]*tbl_Office_Multi[[NLA]:[NLA]],0)</calculatedColumnFormula>
    </tableColumn>
    <tableColumn id="190" xr3:uid="{AA567D42-DBE6-45C4-B4A8-EDFE25D4F6F7}" name="0.0* Max Water (kL)" dataDxfId="1981">
      <calculatedColumnFormula>ROUNDDOWN(tbl_Office_Multi[[#This Row],[0.0* Max Water (kL/m²)]]*tbl_Office_Multi[[NLA]:[NLA]],0)</calculatedColumnFormula>
    </tableColumn>
    <tableColumn id="171" xr3:uid="{A1B8CC6D-3B10-4551-B47A-C88FFA8A49CB}" name="FWD Scope 1,2&amp;3" dataDxfId="1980">
      <calculatedColumnFormula>SUM(tbl_Office_Multi[[#This Row],[Electricity]]*(1-tbl_Office_Multi[[#This Row],[GP]])*tbl_Office_Multi[[#This Row],[SGEe Scopes 1,2&amp;3]],
tbl_Office_Multi[[#This Row],[Gas]]*tbl_Office_Multi[[#This Row],[SGEg Scopes 1,2&amp;3]],
tbl_Office_Multi[[#This Row],[Diesel]]*tbl_Office_Multi[[#This Row],[SGEd Scopes 1,2&amp;3]])</calculatedColumnFormula>
    </tableColumn>
    <tableColumn id="173" xr3:uid="{A4A0BA43-C9C6-4811-8AF7-86582B5F0891}" name="FWD Scope 1&amp;2" dataDxfId="1979">
      <calculatedColumnFormula>SUM(tbl_Office_Multi[[#This Row],[Electricity]]*(1-tbl_Office_Multi[[#This Row],[GP]])*tbl_Office_Multi[[#This Row],[SGEe Scopes 1&amp;2]],
tbl_Office_Multi[[#This Row],[Gas]]*tbl_Office_Multi[[#This Row],[SGEg Scopes 1&amp;2]],
tbl_Office_Multi[[#This Row],[Diesel]]*tbl_Office_Multi[[#This Row],[SGEd Scopes 1&amp;2]])</calculatedColumnFormula>
    </tableColumn>
    <tableColumn id="220" xr3:uid="{B07F5203-27D4-46C5-9A5B-A88EDAED3255}" name="Energy Star (with GP)" dataDxfId="1978">
      <calculatedColumnFormula>MIN(ROUNDUP(tbl_Office_Multi[[#This Row],[Renergy (with GP)]]*2,0)/2,6)</calculatedColumnFormula>
    </tableColumn>
    <tableColumn id="5" xr3:uid="{8BA0E2A3-E786-4BF5-974E-183C9729DC4A}" name="Energy Star Decimal (with GP)" dataDxfId="1977">
      <calculatedColumnFormula>tbl_Office_Multi[[#This Row],[Renergy (with GP)]]+Office_C_FWD_Star_Band_Residual_Adjustment</calculatedColumnFormula>
    </tableColumn>
    <tableColumn id="23" xr3:uid="{7CF0C97A-0D25-4D21-9320-D712931A27A2}" name="NGE published (with GP)" dataDxfId="1976">
      <calculatedColumnFormula>IF(tbl_Office_Multi[[#This Row],[Energy Star Decimal (with GP)]]&gt;5,"N/A",tbl_Office_Multi[[#This Row],[NGE (with GP)]])</calculatedColumnFormula>
    </tableColumn>
    <tableColumn id="48" xr3:uid="{07D4069B-735A-4612-A2BC-4EB7D77561C5}" name="Energy Star (no GP)" dataDxfId="1975">
      <calculatedColumnFormula>MIN(ROUNDUP(tbl_Office_Multi[[#This Row],[REnergy (no GP)]]*2,0)/2,6)</calculatedColumnFormula>
    </tableColumn>
    <tableColumn id="6" xr3:uid="{9CEF3328-9019-4677-A3B6-5D34F72AF647}" name="Energy Star Decimal (no GP)" dataDxfId="1974">
      <calculatedColumnFormula>tbl_Office_Multi[[#This Row],[REnergy (no GP)]]+Office_C_FWD_Star_Band_Residual_Adjustment</calculatedColumnFormula>
    </tableColumn>
    <tableColumn id="24" xr3:uid="{4121F566-D53B-47C6-B4C2-9C310645B02C}" name="NGE published (no GP)" dataDxfId="1973">
      <calculatedColumnFormula>IF(tbl_Office_Multi[[#This Row],[Energy Star Decimal (no GP)]]&gt;5,"N/A",tbl_Office_Multi[[#This Row],[NGE (no GP)]])</calculatedColumnFormula>
    </tableColumn>
    <tableColumn id="221" xr3:uid="{C63DBA77-29B7-44E7-BE94-27591C655C9A}" name="Renergy (with GP)" dataDxfId="1972">
      <calculatedColumnFormula>IF(tbl_Office_Multi[[#This Row],[A]]+tbl_Office_Multi[[#This Row],[B]]*tbl_Office_Multi[[#This Row],[NGE (with GP)]]&gt;5,tbl_Office_Multi[[#This Row],[AEnergybeyond5stars]]+tbl_Office_Multi[[#This Row],[BEnergybeyond5stars gasMJ]]*tbl_Office_Multi[[#This Row],[GE (with GP)]],tbl_Office_Multi[[#This Row],[A]]+tbl_Office_Multi[[#This Row],[B]]*tbl_Office_Multi[[#This Row],[NGE (with GP)]])</calculatedColumnFormula>
    </tableColumn>
    <tableColumn id="49" xr3:uid="{CE0373E3-AED2-4EB7-8A7F-D83CF1F18ABB}" name="REnergy (no GP)" dataDxfId="1971">
      <calculatedColumnFormula>IF(tbl_Office_Multi[[#This Row],[A]]+tbl_Office_Multi[[#This Row],[B]]*tbl_Office_Multi[[#This Row],[NGE (no GP)]]&gt;5,tbl_Office_Multi[[#This Row],[AEnergybeyond5stars]]+tbl_Office_Multi[[#This Row],[BEnergybeyond5stars gasMJ]]*tbl_Office_Multi[[#This Row],[GE (no GP)]],tbl_Office_Multi[[#This Row],[A]]+tbl_Office_Multi[[#This Row],[B]]*tbl_Office_Multi[[#This Row],[NGE (no GP)]])</calculatedColumnFormula>
    </tableColumn>
    <tableColumn id="204" xr3:uid="{E38B3570-E9CA-4957-A069-90C2830E2722}" name="GE (with GP)" dataDxfId="1970">
      <calculatedColumnFormula>SUM(tbl_Office_Multi[[#This Row],[Electricity]]*(1-tbl_Office_Multi[[#This Row],[GP]])*tbl_Office_Multi[[#This Row],[SGEe]],
tbl_Office_Multi[[#This Row],[Gas]]*tbl_Office_Multi[[#This Row],[SGEg]],
tbl_Office_Multi[[#This Row],[Diesel]]*tbl_Office_Multi[[#This Row],[SGEd]])
/tbl_Office_Multi[[#This Row],[NLA]]</calculatedColumnFormula>
    </tableColumn>
    <tableColumn id="218" xr3:uid="{81318B1C-04AB-4DDD-8756-6BF118EAD9A4}" name="GE (no GP)" dataDxfId="1969">
      <calculatedColumnFormula>SUM(tbl_Office_Multi[[#This Row],[Electricity]]*tbl_Office_Multi[[#This Row],[SGEe]],
tbl_Office_Multi[[#This Row],[Gas]]*tbl_Office_Multi[[#This Row],[SGEg]],
tbl_Office_Multi[[#This Row],[Diesel]]*tbl_Office_Multi[[#This Row],[SGEd]])
/tbl_Office_Multi[[#This Row],[NLA]]</calculatedColumnFormula>
    </tableColumn>
    <tableColumn id="179" xr3:uid="{A5F28EFE-32BE-40D9-A6B3-B7580EEDA719}" name="NGE (with GP)" dataDxfId="1968">
      <calculatedColumnFormula>IF(tbl_Office_Multi[[#This Row],[Rating Type]]="Base Building",tbl_Office_Multi[[#This Row],[f_basebuilding]]*(tbl_Office_Multi[[#This Row],[GE (with GP)]]+tbl_Office_Multi[[#This Row],[GEcorrclimate]]),
IF(tbl_Office_Multi[[#This Row],[Rating Type]]="Tenancy",tbl_Office_Multi[[#This Row],[f_tenancy]]*(tbl_Office_Multi[[#This Row],[GE (with GP)]]+tbl_Office_Multi[[#This Row],[GEcorrtenancy]]),
IF(tbl_Office_Multi[[#This Row],[Rating Type]]="Whole Building",tbl_Office_Multi[[#This Row],[GE (with GP)]]*((tbl_Office_Multi[[#This Row],[f_basebuilding]]+tbl_Office_Multi[[#This Row],[f_tenancy]])/2)+tbl_Office_Multi[[#This Row],[f_tenancy]]*tbl_Office_Multi[[#This Row],[GEcorrtenancy]]+tbl_Office_Multi[[#This Row],[f_basebuilding]]*tbl_Office_Multi[[#This Row],[GEcorrclimate]],
0)))</calculatedColumnFormula>
    </tableColumn>
    <tableColumn id="7" xr3:uid="{F396A2D7-E828-498F-8F70-80C30E3E0774}" name="NGE (no GP)" dataDxfId="1967">
      <calculatedColumnFormula>IF(tbl_Office_Multi[[#This Row],[Rating Type]]="Base Building",tbl_Office_Multi[[#This Row],[f_basebuilding]]*(tbl_Office_Multi[[#This Row],[GE (no GP)]]+tbl_Office_Multi[[#This Row],[GEcorrclimate]]),
IF(tbl_Office_Multi[[#This Row],[Rating Type]]="Tenancy",tbl_Office_Multi[[#This Row],[f_tenancy]]*(tbl_Office_Multi[[#This Row],[GE (no GP)]]+tbl_Office_Multi[[#This Row],[GEcorrtenancy]]),
IF(tbl_Office_Multi[[#This Row],[Rating Type]]="Whole Building",tbl_Office_Multi[[#This Row],[GE (no GP)]]*((tbl_Office_Multi[[#This Row],[f_basebuilding]]+tbl_Office_Multi[[#This Row],[f_tenancy]])/2)+tbl_Office_Multi[[#This Row],[f_tenancy]]*tbl_Office_Multi[[#This Row],[GEcorrtenancy]]+tbl_Office_Multi[[#This Row],[f_basebuilding]]*tbl_Office_Multi[[#This Row],[GEcorrclimate]],
0)))</calculatedColumnFormula>
    </tableColumn>
    <tableColumn id="30" xr3:uid="{2C529E6C-7B80-4EF9-B8B2-A0E9B4EB52BB}" name="Water Star (with recyc)" dataDxfId="1966">
      <calculatedColumnFormula>MIN(ROUNDUP(tbl_Office_Multi[[#This Row],[Rwater (with recyc)]]*2,0)/2,6)</calculatedColumnFormula>
    </tableColumn>
    <tableColumn id="31" xr3:uid="{05DB4B22-16D3-4969-B132-70C3D0CE0B08}" name="Water Star Decimal (with recyc)" dataDxfId="1965">
      <calculatedColumnFormula>tbl_Office_Multi[[#This Row],[Rwater (with recyc)]]+Office_C_FWD_Star_Band_Residual_Adjustment</calculatedColumnFormula>
    </tableColumn>
    <tableColumn id="32" xr3:uid="{15C1CD03-5EF1-4C33-B922-5E494AFF1AF4}" name="Water Star (no recyc)" dataDxfId="1964">
      <calculatedColumnFormula>MIN(ROUNDUP(tbl_Office_Multi[[#This Row],[Rwater (no recyc)]]*2,0)/2,6)</calculatedColumnFormula>
    </tableColumn>
    <tableColumn id="33" xr3:uid="{11B4870A-0C2D-4859-A932-E0F89E142951}" name="Water Star Decimal (no recyc)" dataDxfId="1963">
      <calculatedColumnFormula>tbl_Office_Multi[[#This Row],[Rwater (no recyc)]]+Office_C_FWD_Star_Band_Residual_Adjustment</calculatedColumnFormula>
    </tableColumn>
    <tableColumn id="51" xr3:uid="{ACA3A7BF-50D8-4441-B3D9-FD32CEED01AF}" name="w (with recyc)" dataDxfId="1962">
      <calculatedColumnFormula>tbl_Office_Multi[[#This Row],[Water]]*(1-tbl_Office_Multi[[#This Row],[RW]])/tbl_Office_Multi[[#This Row],[NLA]]</calculatedColumnFormula>
    </tableColumn>
    <tableColumn id="16" xr3:uid="{AF216232-7EB2-4947-8710-642F6324AA7A}" name="w (no recyc)" dataDxfId="1961">
      <calculatedColumnFormula>tbl_Office_Multi[[#This Row],[Water]]/tbl_Office_Multi[[#This Row],[NLA]]</calculatedColumnFormula>
    </tableColumn>
    <tableColumn id="11" xr3:uid="{447D44D8-CBE2-40F7-9810-783E04A3B500}" name="Rwater (with recyc)" dataDxfId="1960">
      <calculatedColumnFormula>IF(tbl_Office_Multi[[#This Row],[Rwater0to5 (with recyc)]]&gt;5,tbl_Office_Multi[[#This Row],[AWaterbeyond5stars]]+tbl_Office_Multi[[#This Row],[BWaterbeyond5stars]]*tbl_Office_Multi[[#This Row],[w (with recyc)]],tbl_Office_Multi[[#This Row],[Rwater0to5 (with recyc)]])</calculatedColumnFormula>
    </tableColumn>
    <tableColumn id="29" xr3:uid="{C76962D2-8E2F-4DCC-9539-BD6E3D0862A2}" name="Rwater (no recyc)" dataDxfId="1959">
      <calculatedColumnFormula>IF(tbl_Office_Multi[[#This Row],[Rwater0to5 (no recyc)]]&gt;5,tbl_Office_Multi[[#This Row],[AWaterbeyond5stars]]+tbl_Office_Multi[[#This Row],[BWaterbeyond5stars]]*tbl_Office_Multi[[#This Row],[w (no recyc)]],tbl_Office_Multi[[#This Row],[Rwater0to5 (no recyc)]])</calculatedColumnFormula>
    </tableColumn>
    <tableColumn id="185" xr3:uid="{D2CBD02E-A68F-4671-80A2-33608FBC1C19}" name="Rwater0to5 (with recyc)" dataDxfId="1958">
      <calculatedColumnFormula>IF(tbl_Office_Multi[[#This Row],[w (with recyc)]]&gt;=tbl_Office_Multi[[#This Row],[Alpha star]],2.25*((tbl_Office_Multi[[#This Row],[M star]]-tbl_Office_Multi[[#This Row],[w (with recyc)]])/(tbl_Office_Multi[[#This Row],[M star]]-tbl_Office_Multi[[#This Row],[Alpha star]])+1),2.25*((0.64+0.0016*(tbl_Office_Multi[[#This Row],[Hrs]]-55)-tbl_Office_Multi[[#This Row],[w (with recyc)]])/0.29+1))</calculatedColumnFormula>
    </tableColumn>
    <tableColumn id="37" xr3:uid="{F7F12209-39E2-47CF-83FC-14EDF9CEAA3E}" name="Rwater0to5 (no recyc)" dataDxfId="1957">
      <calculatedColumnFormula>IF(tbl_Office_Multi[[#This Row],[w (no recyc)]]&gt;=tbl_Office_Multi[[#This Row],[Alpha star]],2.25*((tbl_Office_Multi[[#This Row],[M star]]-tbl_Office_Multi[[#This Row],[w (no recyc)]])/(tbl_Office_Multi[[#This Row],[M star]]-tbl_Office_Multi[[#This Row],[Alpha star]])+1),2.25*((0.64+0.0016*(tbl_Office_Multi[[#This Row],[Hrs]]-55)-tbl_Office_Multi[[#This Row],[w (no recyc)]])/0.29+1))</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0B79AB7-2AFF-42D1-ABD1-05554FD05ABD}" name="tbl_SGE_Hotel_2008" displayName="tbl_SGE_Hotel_2008" ref="A143:E151" totalsRowShown="0" headerRowDxfId="851" dataDxfId="850" tableBorderDxfId="849" headerRowCellStyle="Normal 2" dataCellStyle="Normal 2">
  <autoFilter ref="A143:E151" xr:uid="{F0B79AB7-2AFF-42D1-ABD1-05554FD05ABD}"/>
  <tableColumns count="5">
    <tableColumn id="1" xr3:uid="{480DDBFA-79B5-4BA0-BF59-A397B809641D}" name="State" dataDxfId="848" dataCellStyle="Normal 2"/>
    <tableColumn id="2" xr3:uid="{11A7D181-9B4D-4577-A10A-FEE014E30107}" name="SGEe2008" dataDxfId="847" dataCellStyle="Normal 2"/>
    <tableColumn id="3" xr3:uid="{8C351D67-4C9B-48D2-8D17-58C63DC75579}" name="SGEg2008" dataDxfId="846" dataCellStyle="Normal 2"/>
    <tableColumn id="4" xr3:uid="{2AB20B72-AB20-4411-B7B1-E92ED5BA680C}" name="SGEd2008" dataDxfId="845" dataCellStyle="Normal 2"/>
    <tableColumn id="5" xr3:uid="{228C7FA0-96FB-4E50-9978-3F18B4ED69CA}" name="SGEc2008" dataDxfId="844" dataCellStyle="Normal 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C57A28D-D0B7-43B4-A139-F2633E4BBD86}" name="tbl_SGE_Office_2020" displayName="tbl_SGE_Office_2020" ref="A19:E27" totalsRowShown="0" headerRowDxfId="843" dataDxfId="842" headerRowBorderDxfId="840" tableBorderDxfId="841" totalsRowBorderDxfId="839" headerRowCellStyle="Normal 2" dataCellStyle="Normal 2">
  <autoFilter ref="A19:E27" xr:uid="{8C57A28D-D0B7-43B4-A139-F2633E4BBD86}"/>
  <tableColumns count="5">
    <tableColumn id="1" xr3:uid="{03423C28-FA85-44E5-B8CE-7B296C789E9E}" name="State" dataDxfId="838" dataCellStyle="Normal 2"/>
    <tableColumn id="2" xr3:uid="{E29BB755-214C-403E-A137-93280E6A6D97}" name="SGEekWh" dataDxfId="837" dataCellStyle="Normal 2"/>
    <tableColumn id="3" xr3:uid="{3C5E0BD3-6E72-43D6-8E45-90C48D9A8296}" name="SGEgkWh" dataDxfId="836" dataCellStyle="Normal 2"/>
    <tableColumn id="4" xr3:uid="{5F59D0EC-3975-4047-8FBA-AD5B48841813}" name="SGEdkWh" dataDxfId="835" dataCellStyle="Normal 2"/>
    <tableColumn id="5" xr3:uid="{325657BE-DBCA-48BB-B08C-B59AB754CED6}" name="SGEckWh" dataDxfId="834" dataCellStyle="Normal 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89D6266-6C98-4D3C-99F5-895A815F71B4}" name="tbl_SGE_AB_2018" displayName="tbl_SGE_AB_2018" ref="A84:E92" totalsRowShown="0" headerRowDxfId="833" dataDxfId="832" headerRowBorderDxfId="830" tableBorderDxfId="831" totalsRowBorderDxfId="829" headerRowCellStyle="Normal 5 2" dataCellStyle="Normal 5 2">
  <autoFilter ref="A84:E92" xr:uid="{489D6266-6C98-4D3C-99F5-895A815F71B4}"/>
  <tableColumns count="5">
    <tableColumn id="1" xr3:uid="{56827E72-E18F-496D-B106-9BA23B88A8EB}" name="State" dataDxfId="828" dataCellStyle="Normal 2"/>
    <tableColumn id="2" xr3:uid="{1145F582-BBB3-4751-A6A7-4E80BF3C6D06}" name="SGEe2018" dataDxfId="827" dataCellStyle="Normal 5 2"/>
    <tableColumn id="3" xr3:uid="{474DCDA6-F50D-48C7-8DBD-A4FD77CDFAAE}" name="SGEg2018" dataDxfId="826" dataCellStyle="Normal 5 2"/>
    <tableColumn id="4" xr3:uid="{83ABBF84-1318-460A-9432-034219FDE8FB}" name="SGEd2018" dataDxfId="825" dataCellStyle="Normal 5 2"/>
    <tableColumn id="5" xr3:uid="{388F9532-C19E-494A-9CE2-4DE31B1C4ABD}" name="SGEc2018" dataDxfId="824" dataCellStyle="Normal 5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E888BAE-AB6C-4FD8-91A4-C73E148EE9C9}" name="tbl_SGE_AB_2020" displayName="tbl_SGE_AB_2020" ref="A56:E64" totalsRowShown="0" headerRowDxfId="823" dataDxfId="822" tableBorderDxfId="821" headerRowCellStyle="Normal 2" dataCellStyle="Normal 5">
  <autoFilter ref="A56:E64" xr:uid="{EE888BAE-AB6C-4FD8-91A4-C73E148EE9C9}"/>
  <tableColumns count="5">
    <tableColumn id="1" xr3:uid="{E55038FC-9890-48D9-8814-AD52E23E0EA3}" name="State" dataDxfId="820" dataCellStyle="Normal 5"/>
    <tableColumn id="2" xr3:uid="{CBD60CEF-8D0D-491B-A8B8-006ABCD79F60}" name="SGEe" dataDxfId="819" dataCellStyle="Normal 5"/>
    <tableColumn id="3" xr3:uid="{FFA51FAA-BE54-4C0F-AC6D-823E3FCB794A}" name="SGEg" dataDxfId="818" dataCellStyle="Normal 5"/>
    <tableColumn id="4" xr3:uid="{8853708A-AAC4-445B-BCA8-2D47FAC0AA2E}" name="SGEd" dataDxfId="817" dataCellStyle="Normal 5"/>
    <tableColumn id="5" xr3:uid="{4EBCBF9D-433F-4FF9-9216-86C243C6DD93}" name="SGEc" dataDxfId="816" dataCellStyle="Normal 5 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81B59A4-B61D-4439-9426-5F2C47369326}" name="tbl_SGE_Data_Centres_2020" displayName="tbl_SGE_Data_Centres_2020" ref="A70:E78" totalsRowShown="0" headerRowDxfId="815" dataDxfId="814" tableBorderDxfId="813" headerRowCellStyle="Normal 2" dataCellStyle="Normal 5">
  <autoFilter ref="A70:E78" xr:uid="{081B59A4-B61D-4439-9426-5F2C47369326}"/>
  <tableColumns count="5">
    <tableColumn id="1" xr3:uid="{4F58699B-E674-49F9-8486-6D23BAE38076}" name="State" dataDxfId="812" dataCellStyle="Normal 5"/>
    <tableColumn id="2" xr3:uid="{46756A62-D40F-41F2-9363-C120BE192442}" name="SGEe" dataDxfId="811" dataCellStyle="Normal 5"/>
    <tableColumn id="3" xr3:uid="{66DDCA63-48B7-40CD-A4DC-90778EB01E35}" name="SGEg" dataDxfId="810" dataCellStyle="Normal 5"/>
    <tableColumn id="4" xr3:uid="{C4B7568C-868A-4B52-A23F-D96E7C6E27AF}" name="SGEd" dataDxfId="809" dataCellStyle="Normal 5"/>
    <tableColumn id="5" xr3:uid="{3B2AACEA-8B65-4C05-9CCC-2A6353E225AD}" name="SGEc" dataDxfId="808" dataCellStyle="Normal 5 2"/>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5FE90C7-173C-4CD3-8AD3-A134BE50B258}" name="tbl_SGE_Hospital_2016" displayName="tbl_SGE_Hospital_2016" ref="A98:E106" totalsRowShown="0" headerRowDxfId="807" dataDxfId="806" headerRowBorderDxfId="804" tableBorderDxfId="805" totalsRowBorderDxfId="803" headerRowCellStyle="Normal 5 2" dataCellStyle="Normal 5 2">
  <autoFilter ref="A98:E106" xr:uid="{B5FE90C7-173C-4CD3-8AD3-A134BE50B258}"/>
  <tableColumns count="5">
    <tableColumn id="1" xr3:uid="{059BDAD6-AE9B-4F4F-A417-AAB5BF10528D}" name="State" dataDxfId="802" dataCellStyle="Normal 2"/>
    <tableColumn id="2" xr3:uid="{30353B12-7187-420F-A8A4-DA4FBCFFDDE8}" name="SGEe2016" dataDxfId="801" dataCellStyle="Normal 5 2"/>
    <tableColumn id="3" xr3:uid="{69EE848A-EC1E-45EF-AAAC-761B24536F76}" name="SGEg2016" dataDxfId="800" dataCellStyle="Normal 5 2"/>
    <tableColumn id="4" xr3:uid="{DDD7086B-E0FF-4CA2-B28A-BE73E1416D03}" name="SGEd2016" dataDxfId="799" dataCellStyle="Normal 5 2"/>
    <tableColumn id="5" xr3:uid="{FE208228-AEEB-4164-ACEE-D150FD90B9B2}" name="SGEl2016" dataDxfId="798" dataCellStyle="Normal 5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A95B515-33C1-4A26-AE2A-2A3C04F837E6}" name="tbl_SGE_Hospital" displayName="tbl_SGE_Hospital" ref="A116:E124" totalsRowShown="0" headerRowDxfId="797" dataDxfId="796" headerRowBorderDxfId="794" tableBorderDxfId="795" totalsRowBorderDxfId="793">
  <autoFilter ref="A116:E124" xr:uid="{0A95B515-33C1-4A26-AE2A-2A3C04F837E6}"/>
  <tableColumns count="5">
    <tableColumn id="1" xr3:uid="{6E02B3D7-F57E-4580-BC04-29CA54007BA8}" name="State" dataDxfId="792"/>
    <tableColumn id="2" xr3:uid="{E0935B88-42C1-45A7-A8A5-959742B4B4CD}" name="SGEe2022" dataDxfId="791"/>
    <tableColumn id="3" xr3:uid="{6CC6849F-2DAC-47AD-9A85-4282DDB878B2}" name="SGEg2022" dataDxfId="790"/>
    <tableColumn id="4" xr3:uid="{DD0D48DD-4850-4F8F-B692-0D60D3032A0D}" name="SGEd2022" dataDxfId="789"/>
    <tableColumn id="5" xr3:uid="{BAC3BDC9-241C-4BE0-94D1-000DD1B0A29A}" name="SGEl2022" dataDxfId="78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2F996CD-DB51-49D6-B654-D27E49ECE6F5}" name="tbl_SGE_Warehouse_2022" displayName="tbl_SGE_Warehouse_2022" ref="A191:K199" totalsRowShown="0" headerRowDxfId="787" dataDxfId="786" tableBorderDxfId="785" headerRowCellStyle="Normal 2" dataCellStyle="Normal 5">
  <autoFilter ref="A191:K199" xr:uid="{1D642E7A-E5D2-4E75-93AB-D7F3D68CD6DE}"/>
  <tableColumns count="11">
    <tableColumn id="1" xr3:uid="{D092AA0A-FCCB-4AB9-9EEB-B3B65B5AE4F9}" name="State" dataDxfId="784" dataCellStyle="Normal 5"/>
    <tableColumn id="2" xr3:uid="{B9F3E19F-DE18-49BF-8DA2-F257830330C3}" name="SGEe" dataDxfId="783" dataCellStyle="Normal 5"/>
    <tableColumn id="3" xr3:uid="{D222DBDB-89D3-4F53-8F64-D1EC107F7962}" name="SGEg" dataDxfId="782" dataCellStyle="Normal 5"/>
    <tableColumn id="4" xr3:uid="{C6E437ED-37A8-4E87-881C-F558271EFC75}" name="SGEc" dataDxfId="781" dataCellStyle="Normal 2"/>
    <tableColumn id="5" xr3:uid="{C0ECC2DE-DCB3-4016-88D3-A8B872654043}" name="SGEd" dataDxfId="780" dataCellStyle="Normal 5"/>
    <tableColumn id="10" xr3:uid="{2FEA9FA3-A280-4BF4-9196-4B4F36E03A68}" name="SGEl" dataDxfId="779" dataCellStyle="Normal 5">
      <calculatedColumnFormula>tbl_SGE_Warehouse_2022[[#This Row],[SGEg]]</calculatedColumnFormula>
    </tableColumn>
    <tableColumn id="6" xr3:uid="{DF44593B-6A59-472B-BAD7-5FC34A5E439E}" name="SGEe wrt NSW" dataDxfId="778" dataCellStyle="Normal 5">
      <calculatedColumnFormula>B192/B$192</calculatedColumnFormula>
    </tableColumn>
    <tableColumn id="7" xr3:uid="{9D9F0A51-FC41-4DD8-8D65-B8FAB5D21ADC}" name="SGEg wrt NSW" dataDxfId="777" dataCellStyle="Normal 5">
      <calculatedColumnFormula>C192/C$192</calculatedColumnFormula>
    </tableColumn>
    <tableColumn id="11" xr3:uid="{6AF141C4-9046-40A9-ACC3-2CCBF9E21E04}" name="SGEl wrt NSW" dataDxfId="776" dataCellStyle="Normal 5">
      <calculatedColumnFormula>tbl_SGE_Warehouse_2022[[#This Row],[SGEg wrt NSW]]</calculatedColumnFormula>
    </tableColumn>
    <tableColumn id="8" xr3:uid="{B2365010-A1C6-4233-AD84-B465A818B613}" name="SGEc wrt NSW" dataDxfId="775" dataCellStyle="Normal 5">
      <calculatedColumnFormula>D192/D$192</calculatedColumnFormula>
    </tableColumn>
    <tableColumn id="9" xr3:uid="{8C56B58C-0BBF-463F-BA52-F0EB8428B6B2}" name="SGEd wrt NSW" dataDxfId="774" dataCellStyle="Normal 5">
      <calculatedColumnFormula>E192/E$192</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4A478087-A7DE-4F75-A07C-0331A03318A8}" name="tbl_SGE_School_2022" displayName="tbl_SGE_School_2022" ref="A205:H213" totalsRowShown="0" headerRowDxfId="773" dataDxfId="772" headerRowBorderDxfId="770" tableBorderDxfId="771" totalsRowBorderDxfId="769" headerRowCellStyle="Normal 2" dataCellStyle="Normal 2">
  <autoFilter ref="A205:H213" xr:uid="{4A478087-A7DE-4F75-A07C-0331A03318A8}"/>
  <tableColumns count="8">
    <tableColumn id="1" xr3:uid="{85F9D65F-806F-470C-ABC4-91EC3A70034C}" name="State" dataDxfId="768" dataCellStyle="Normal 2"/>
    <tableColumn id="2" xr3:uid="{C42A6762-B4AA-47CB-8731-B58B2A91C9F1}" name="Electricity_x000a_(kgCO2/kWh)" dataDxfId="767" dataCellStyle="Normal 2"/>
    <tableColumn id="3" xr3:uid="{C4B21B06-2179-4015-A66E-44B5BEF6FC7F}" name="Gas_x000a_(kgCO2/MJ)" dataDxfId="766" dataCellStyle="Normal 2"/>
    <tableColumn id="4" xr3:uid="{0EB4D9BE-1726-483C-BB6B-EC4347330678}" name="LPG_x000a_(kgCO2/MJ)" dataDxfId="765" dataCellStyle="Normal 2"/>
    <tableColumn id="5" xr3:uid="{D4C7CB29-F1FF-43D6-BAE0-C037A32782AE}" name="Diesel_x000a_(kgCO2/L)" dataDxfId="764" dataCellStyle="Normal 2"/>
    <tableColumn id="6" xr3:uid="{61861DCB-7AB0-4E78-A658-CB0B01DD58B7}" name="LPG_x000a_(kgCO2/L)" dataDxfId="763" dataCellStyle="Normal 2"/>
    <tableColumn id="7" xr3:uid="{C83B8A17-7EA0-4F5E-B0FF-14DF599750DF}" name="Electricity Factors" dataDxfId="762" dataCellStyle="Normal 2">
      <calculatedColumnFormula>B206/$B$206</calculatedColumnFormula>
    </tableColumn>
    <tableColumn id="8" xr3:uid="{CFBFE380-310A-40A9-BCDA-1B669A6A16CD}" name="Gas Factors " dataDxfId="761" dataCellStyle="Normal 2">
      <calculatedColumnFormula>C206/$C$206</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5E799D5-52B6-41B9-9FB3-22ABC0E17C94}" name="tbl_Climate_Lookup" displayName="tbl_Climate_Lookup" ref="A3:F3730" totalsRowShown="0" headerRowDxfId="760" dataDxfId="759" headerRowCellStyle="Normal 2" dataCellStyle="Normal 2">
  <autoFilter ref="A3:F3730" xr:uid="{A5E799D5-52B6-41B9-9FB3-22ABC0E17C94}"/>
  <sortState xmlns:xlrd2="http://schemas.microsoft.com/office/spreadsheetml/2017/richdata2" ref="A4:E3730">
    <sortCondition ref="A3:A3730"/>
  </sortState>
  <tableColumns count="6">
    <tableColumn id="1" xr3:uid="{9BAF60DF-B9B6-47AA-A1FF-2A5220AFC3F6}" name="Postcode" dataDxfId="758" dataCellStyle="Normal 2"/>
    <tableColumn id="2" xr3:uid="{78ED2106-51F3-4742-AA06-668BFDC542D7}" name="Climate zone" dataDxfId="757" dataCellStyle="Normal 2"/>
    <tableColumn id="3" xr3:uid="{0DEB6D10-C8E0-4DF2-98AB-B5D6CD670DDA}" name="HDD" dataDxfId="756" dataCellStyle="Normal 2"/>
    <tableColumn id="4" xr3:uid="{0E847C74-AF9C-414B-918D-5EC974B80F57}" name="CDD" dataDxfId="755" dataCellStyle="Normal 2"/>
    <tableColumn id="5" xr3:uid="{D7B3D5E5-2D16-401F-B32B-D967490CD480}" name="State" dataDxfId="754" dataCellStyle="Normal 2"/>
    <tableColumn id="6" xr3:uid="{2C1B0C95-7362-4207-B28D-CF9EE1A56FF1}" name="IRR" dataDxfId="753"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CFA0CCC-00E7-4745-9AA7-0110BDCC3EEA}" name="tbl_Apartment_Multi" displayName="tbl_Apartment_Multi" ref="A3:HM6" totalsRowShown="0" headerRowDxfId="1944" tableBorderDxfId="1943">
  <autoFilter ref="A3:HM6" xr:uid="{912DCB91-0EE1-4B70-BDB9-4E27D3EB38A8}"/>
  <tableColumns count="221">
    <tableColumn id="222" xr3:uid="{A78A2DC6-04D0-4070-97AB-F73E6633240C}" name="Target Energy" dataDxfId="1942"/>
    <tableColumn id="223" xr3:uid="{D5339E52-665B-4E92-B632-A055FFC7BAE6}" name="Target Water" dataDxfId="1941"/>
    <tableColumn id="1" xr3:uid="{4BD0F0BF-F95B-40F0-991A-BF40DE076746}" name="Postcode" dataDxfId="1940"/>
    <tableColumn id="2" xr3:uid="{4438A447-9C8C-4787-8D0E-9D2496604CB5}" name="Apartments" dataDxfId="1939"/>
    <tableColumn id="3" xr3:uid="{63891871-8031-4005-A83F-5585BECF3B10}" name="NCAC" dataDxfId="1938"/>
    <tableColumn id="4" xr3:uid="{F89DE9EB-8683-4F78-AC08-57BCE22DA311}" name="NCW" dataDxfId="1937"/>
    <tableColumn id="5" xr3:uid="{A92E4917-DBCB-4E18-8772-24AEC126C40D}" name="NNCS" dataDxfId="1936"/>
    <tableColumn id="148" xr3:uid="{9867AB0B-E4A2-4E3E-92BA-06A86355959A}" name="Nlift" dataDxfId="1935"/>
    <tableColumn id="6" xr3:uid="{B1B03737-3503-4CD2-B380-9A3BEB37E840}" name="Pool" dataDxfId="1934"/>
    <tableColumn id="30" xr3:uid="{60B6E58F-1CEC-466E-A9E7-68FFD68FFCC3}" name="TMPA" dataDxfId="1933"/>
    <tableColumn id="7" xr3:uid="{8889D384-AD8F-401D-B7B7-0BEA40EC079E}" name="Gym" dataDxfId="1932"/>
    <tableColumn id="33" xr3:uid="{CB5F228F-8FFB-4A28-A4C4-8303AB6C1776}" name="TMGA" dataDxfId="1931"/>
    <tableColumn id="9" xr3:uid="{784011A4-3BAA-4647-9393-8CE37D2DBC55}" name="CPNV" dataDxfId="1930"/>
    <tableColumn id="8" xr3:uid="{002A31CC-323A-424A-945F-9648F8914939}" name="CPMV" dataDxfId="1929"/>
    <tableColumn id="34" xr3:uid="{4C63AF36-1210-476D-8DA6-D0F67A18DBA5}" name="CentralColdWater" dataDxfId="1928"/>
    <tableColumn id="43" xr3:uid="{173D1BED-71E7-44F1-AF7C-049D68D41CF0}" name="ColdWaterCentralDHW" dataDxfId="1927"/>
    <tableColumn id="50" xr3:uid="{CFC6A4B1-722F-46D0-A7E2-B55D0635CF64}" name="ColdWaterCentralNoDHW" dataDxfId="1926"/>
    <tableColumn id="53" xr3:uid="{09DD66E8-7A54-4D4C-92B3-41E3EECA2C0E}" name="CentralACWater" dataDxfId="1925"/>
    <tableColumn id="141" xr3:uid="{E8E2767D-2F0C-4AAB-AE43-45B3A66294CC}" name="Electricity (%)" dataDxfId="1924"/>
    <tableColumn id="142" xr3:uid="{06DAB37B-7BFB-4642-8FF6-A83701E9C091}" name="Gas (%)" dataDxfId="1923"/>
    <tableColumn id="143" xr3:uid="{0A179E9D-1F56-4E15-9D86-79EC319EFECC}" name="Diesel (%)" dataDxfId="1922"/>
    <tableColumn id="52" xr3:uid="{4C0FC7E7-CF2D-4A70-ADCC-06F3B7481BBE}" name="Energy Benchmark Factor" dataDxfId="1921">
      <calculatedColumnFormula>tbl_Apartment_Multi[[#This Row],[Target Max Energy BF]]</calculatedColumnFormula>
    </tableColumn>
    <tableColumn id="224" xr3:uid="{7B861BF1-6676-45BE-BD83-7745C6040473}" name="Predicted Ave Emissions" dataDxfId="1920">
      <calculatedColumnFormula>tbl_Apartment_Multi[[#This Row],[Predicted Emissions]]</calculatedColumnFormula>
    </tableColumn>
    <tableColumn id="225" xr3:uid="{D339C6E0-C82A-4D4C-A281-460A9836E552}" name="Max Emissions at Target" dataDxfId="1919">
      <calculatedColumnFormula>tbl_Apartment_Multi[[#This Row],[Target Max CO2]]</calculatedColumnFormula>
    </tableColumn>
    <tableColumn id="10" xr3:uid="{6D2CD281-134B-4669-8C95-BCC117DE94C9}" name="Max Emissions Intensity at Target" dataDxfId="1918">
      <calculatedColumnFormula>tbl_Apartment_Multi[[#This Row],[Target Max e]]</calculatedColumnFormula>
    </tableColumn>
    <tableColumn id="28" xr3:uid="{1BEF5176-4880-42AE-A1A9-962A2BFA1677}" name="Max Energy Intensity at Target" dataDxfId="1917">
      <calculatedColumnFormula>tbl_Apartment_Multi[[#This Row],[Target Max Energy Intensity]]</calculatedColumnFormula>
    </tableColumn>
    <tableColumn id="226" xr3:uid="{3BC5EE0B-0CE2-44AF-8736-904424431F90}" name="Actual Scope 1,2&amp;3 at Target" dataDxfId="1916">
      <calculatedColumnFormula>tbl_Apartment_Multi[[#This Row],[Target Scopes 1,2&amp;3]]</calculatedColumnFormula>
    </tableColumn>
    <tableColumn id="227" xr3:uid="{B3EF3615-DD81-4D42-8E0E-E16A23CEA1DE}" name="Actual Scope 1&amp;2 at Targe" dataDxfId="1915">
      <calculatedColumnFormula>tbl_Apartment_Multi[[#This Row],[Target Scopes 1&amp;2]]</calculatedColumnFormula>
    </tableColumn>
    <tableColumn id="228" xr3:uid="{3EC888B3-5CA1-4039-9C2E-1DFDA2EEAF0B}" name="Max Elec (kWh) at Target" dataDxfId="1914">
      <calculatedColumnFormula>tbl_Apartment_Multi[[#This Row],[Target Max Elec (kWh)]]</calculatedColumnFormula>
    </tableColumn>
    <tableColumn id="229" xr3:uid="{D021B405-9901-4FBF-9D14-182BCB50DB29}" name="Max Gas (MJ) at Target" dataDxfId="1913">
      <calculatedColumnFormula>tbl_Apartment_Multi[[#This Row],[Target Max Gas (MJ)]]</calculatedColumnFormula>
    </tableColumn>
    <tableColumn id="230" xr3:uid="{BD349F74-CBAE-4769-9FFC-F26CA5F30958}" name="Max Diesel (L) at Target" dataDxfId="1912">
      <calculatedColumnFormula>tbl_Apartment_Multi[[#This Row],[Target Max Diesel (L)]]</calculatedColumnFormula>
    </tableColumn>
    <tableColumn id="55" xr3:uid="{F5D208F3-B7E7-40B9-BB95-2963A5A336B3}" name="Water Benchmark Factor" dataDxfId="1911">
      <calculatedColumnFormula>tbl_Apartment_Multi[[#This Row],[Target Max Water BF]]</calculatedColumnFormula>
    </tableColumn>
    <tableColumn id="232" xr3:uid="{1CAC1B60-05E6-491F-833D-255477E9984D}" name="Predicted Ave Water" dataDxfId="1910">
      <calculatedColumnFormula>tbl_Apartment_Multi[[#This Row],[Predicted Water]]</calculatedColumnFormula>
    </tableColumn>
    <tableColumn id="233" xr3:uid="{878975BB-7418-4A99-B9A1-D63A06FE567B}" name="Max Water (kL) at Target" dataDxfId="1909">
      <calculatedColumnFormula>tbl_Apartment_Multi[[#This Row],[Target Max Water (kL)]]</calculatedColumnFormula>
    </tableColumn>
    <tableColumn id="11" xr3:uid="{99DF5CCF-054C-46F9-88B8-BFCA3D1AF882}" name="Max Water Intensity at Target" dataDxfId="1908">
      <calculatedColumnFormula>tbl_Apartment_Multi[[#This Row],[Target Max Water Intensity]]</calculatedColumnFormula>
    </tableColumn>
    <tableColumn id="12" xr3:uid="{64910D6C-4910-4491-BCF2-C9DE77CCEF2E}" name="Electricity" dataDxfId="1907"/>
    <tableColumn id="13" xr3:uid="{C50D50B7-8D62-4CC9-B999-811BF6C86E28}" name="Gas" dataDxfId="1906"/>
    <tableColumn id="14" xr3:uid="{882E431C-67EF-435A-8F87-CD6837B504B1}" name="Diesel" dataDxfId="1905"/>
    <tableColumn id="15" xr3:uid="{514B90E2-55DF-4071-A975-10D2F03BEA16}" name="GP" dataDxfId="1904"/>
    <tableColumn id="17" xr3:uid="{96074637-78EA-49A4-8E69-9BBE6BE0B37A}" name="Water" dataDxfId="1903"/>
    <tableColumn id="18" xr3:uid="{B8C4B9D3-929E-4491-B7CA-0DFA0F8ECF51}" name="RW" dataDxfId="1902"/>
    <tableColumn id="19" xr3:uid="{C3364858-F9E5-43A4-B2CE-6A6E697E1CA8}" name="State" dataDxfId="1901">
      <calculatedColumnFormula>INDEX(tbl_Climate_Lookup[],MATCH(tbl_Apartment_Multi[[Postcode]:[Postcode]],tbl_Climate_Lookup[[Postcode]:[Postcode]],0),MATCH(tbl_Apartment_Multi[[#Headers],[State]],tbl_Climate_Lookup[#Headers],0))</calculatedColumnFormula>
    </tableColumn>
    <tableColumn id="20" xr3:uid="{B19457F8-973C-48E2-B1D7-8F9EA59A24FF}" name="Climate zone" dataDxfId="1900">
      <calculatedColumnFormula>INDEX(tbl_Climate_Lookup[],MATCH(tbl_Apartment_Multi[[Postcode]:[Postcode]],tbl_Climate_Lookup[[Postcode]:[Postcode]],0),MATCH(tbl_Apartment_Multi[[#Headers],[Climate zone]],tbl_Climate_Lookup[#Headers],0))</calculatedColumnFormula>
    </tableColumn>
    <tableColumn id="21" xr3:uid="{496E284E-1D27-4284-9F8C-1FD310202E90}" name="HDD" dataDxfId="1899">
      <calculatedColumnFormula>INDEX(tbl_Climate_Lookup[],MATCH(tbl_Apartment_Multi[[Postcode]:[Postcode]],tbl_Climate_Lookup[[Postcode]:[Postcode]],0),MATCH(tbl_Apartment_Multi[[#Headers],[HDD]],tbl_Climate_Lookup[#Headers],0))</calculatedColumnFormula>
    </tableColumn>
    <tableColumn id="22" xr3:uid="{FADAE4C0-2286-446B-A852-55FA6F216E1B}" name="CDD" dataDxfId="1898">
      <calculatedColumnFormula>INDEX(tbl_Climate_Lookup[],MATCH(tbl_Apartment_Multi[[Postcode]:[Postcode]],tbl_Climate_Lookup[[Postcode]:[Postcode]],0),MATCH(tbl_Apartment_Multi[[#Headers],[CDD]],tbl_Climate_Lookup[#Headers],0))</calculatedColumnFormula>
    </tableColumn>
    <tableColumn id="25" xr3:uid="{D0B6A3C8-601C-4BA2-8833-C51244A94F20}" name="SGEe" dataDxfId="1897">
      <calculatedColumnFormula>INDEX(tbl_SGE_AB_2020[],MATCH(tbl_Apartment_Multi[[State]:[State]],tbl_SGE_AB_2020[[State]:[State]],0),MATCH(tbl_Apartment_Multi[[#Headers],[SGEe]],tbl_SGE_AB_2020[#Headers],0))</calculatedColumnFormula>
    </tableColumn>
    <tableColumn id="26" xr3:uid="{4345258D-ABBA-435F-AEC1-B7EC4125F665}" name="SGEg" dataDxfId="1896">
      <calculatedColumnFormula>INDEX(tbl_SGE_AB_2020[],MATCH(tbl_Apartment_Multi[[State]:[State]],tbl_SGE_AB_2020[[State]:[State]],0),MATCH(tbl_Apartment_Multi[[#Headers],[SGEg]],tbl_SGE_AB_2020[#Headers],0))</calculatedColumnFormula>
    </tableColumn>
    <tableColumn id="27" xr3:uid="{B54F7139-BE3F-449F-8C1F-A888A6B41D3F}" name="SGEd" dataDxfId="1895">
      <calculatedColumnFormula>INDEX(tbl_SGE_AB_2020[],MATCH(tbl_Apartment_Multi[[State]:[State]],tbl_SGE_AB_2020[[State]:[State]],0),MATCH(tbl_Apartment_Multi[[#Headers],[SGEd]],tbl_SGE_AB_2020[#Headers],0))</calculatedColumnFormula>
    </tableColumn>
    <tableColumn id="145" xr3:uid="{66D7EBBF-6EEC-42EB-8313-DC585D1F12C2}" name="CFelec" dataDxfId="1894">
      <calculatedColumnFormula>INDEX(tbl_Conversion_Factors[[Conversion Factors]:[Conversion Factors]],MATCH(tbl_Apartment_Multi[[#Headers],[CFelec]],tbl_Conversion_Factors[[Reference]:[Reference]],0))</calculatedColumnFormula>
    </tableColumn>
    <tableColumn id="146" xr3:uid="{C4ED8BD9-4A9E-4F24-BA94-BA0227D200D2}" name="CFdiesel" dataDxfId="1893">
      <calculatedColumnFormula>INDEX(tbl_Conversion_Factors[[Conversion Factors]:[Conversion Factors]],MATCH(tbl_Apartment_Multi[[#Headers],[CFdiesel]],tbl_Conversion_Factors[[Reference]:[Reference]],0))</calculatedColumnFormula>
    </tableColumn>
    <tableColumn id="151" xr3:uid="{54743438-9CE3-4367-92CF-5D88200DFE3F}" name="SGEeMJ" dataDxfId="1892">
      <calculatedColumnFormula>tbl_Apartment_Multi[[#This Row],[SGEe]]/tbl_Apartment_Multi[[#This Row],[CFelec]]</calculatedColumnFormula>
    </tableColumn>
    <tableColumn id="152" xr3:uid="{B4946B56-2627-4950-9132-719E33F28C04}" name="SGEdMJ" dataDxfId="1891">
      <calculatedColumnFormula>tbl_Apartment_Multi[[#This Row],[SGEd]]/tbl_Apartment_Multi[[#This Row],[CFdiesel]]</calculatedColumnFormula>
    </tableColumn>
    <tableColumn id="154" xr3:uid="{1701665C-1266-4E49-B105-7B7EAAF8A1A6}" name="EffGHG" dataDxfId="1890">
      <calculatedColumnFormula>IF(SUM(tbl_Apartment_Multi[[#This Row],[Electricity (%)]:[Diesel (%)]])=1,
SUM(tbl_Apartment_Multi[[#This Row],[Electricity (%)]]*tbl_Apartment_Multi[[#This Row],[SGEeMJ]],
tbl_Apartment_Multi[[#This Row],[Gas (%)]]*tbl_Apartment_Multi[[#This Row],[SGEg]],
tbl_Apartment_Multi[[#This Row],[Diesel (%)]]*tbl_Apartment_Multi[[#This Row],[SGEdMJ]]),0)</calculatedColumnFormula>
    </tableColumn>
    <tableColumn id="244" xr3:uid="{E5367F61-4330-44C1-B74B-03E818641DB2}" name="SGEe Scopes 1,2&amp;3" dataDxfId="1889">
      <calculatedColumnFormula>INDEX(tbl_NGA_Factors_2021[],MATCH(tbl_Apartment_Multi[[State]:[State]],tbl_NGA_Factors_2021[[State]:[State]],0),MATCH(tbl_Apartment_Multi[[#Headers],[SGEe Scopes 1,2&amp;3]],tbl_NGA_Factors_2021[#Headers],0))</calculatedColumnFormula>
    </tableColumn>
    <tableColumn id="245" xr3:uid="{8ED0A183-2CBE-4144-93B0-568ED9746E78}" name="SGEg Scopes 1,2&amp;3" dataDxfId="1888">
      <calculatedColumnFormula>INDEX(tbl_NGA_Factors_2021[],MATCH(tbl_Apartment_Multi[[State]:[State]],tbl_NGA_Factors_2021[[State]:[State]],0),MATCH(tbl_Apartment_Multi[[#Headers],[SGEg Scopes 1,2&amp;3]],tbl_NGA_Factors_2021[#Headers],0))</calculatedColumnFormula>
    </tableColumn>
    <tableColumn id="246" xr3:uid="{1AB02A69-7EF8-4B55-9EC6-6EC9EF08A454}" name="SGEd Scopes 1,2&amp;3" dataDxfId="1887">
      <calculatedColumnFormula>INDEX(tbl_NGA_Factors_2021[],MATCH(tbl_Apartment_Multi[[State]:[State]],tbl_NGA_Factors_2021[[State]:[State]],0),MATCH(tbl_Apartment_Multi[[#Headers],[SGEd Scopes 1,2&amp;3]],tbl_NGA_Factors_2021[#Headers],0))</calculatedColumnFormula>
    </tableColumn>
    <tableColumn id="248" xr3:uid="{050D62D8-0D32-4684-97B7-61745C5E8B94}" name="SGEe Scopes 1&amp;2" dataDxfId="1886">
      <calculatedColumnFormula>INDEX(tbl_NGA_Factors_2021[],MATCH(tbl_Apartment_Multi[[State]:[State]],tbl_NGA_Factors_2021[[State]:[State]],0),MATCH(tbl_Apartment_Multi[[#Headers],[SGEe Scopes 1&amp;2]],tbl_NGA_Factors_2021[#Headers],0))</calculatedColumnFormula>
    </tableColumn>
    <tableColumn id="249" xr3:uid="{4EF7D5FA-3CB8-4830-B1D0-5BFA058AD5E0}" name="SGEg Scopes 1&amp;2" dataDxfId="1885">
      <calculatedColumnFormula>INDEX(tbl_NGA_Factors_2021[],MATCH(tbl_Apartment_Multi[[State]:[State]],tbl_NGA_Factors_2021[[State]:[State]],0),MATCH(tbl_Apartment_Multi[[#Headers],[SGEg Scopes 1&amp;2]],tbl_NGA_Factors_2021[#Headers],0))</calculatedColumnFormula>
    </tableColumn>
    <tableColumn id="250" xr3:uid="{D4A18945-B5AD-4C06-9F7E-5538C74E3B32}" name="SGEd Scopes 1&amp;2" dataDxfId="1884">
      <calculatedColumnFormula>INDEX(tbl_NGA_Factors_2021[],MATCH(tbl_Apartment_Multi[[State]:[State]],tbl_NGA_Factors_2021[[State]:[State]],0),MATCH(tbl_Apartment_Multi[[#Headers],[SGEd Scopes 1&amp;2]],tbl_NGA_Factors_2021[#Headers],0))</calculatedColumnFormula>
    </tableColumn>
    <tableColumn id="35" xr3:uid="{9839E661-F92C-4841-B9C3-0C69CAC365FD}" name="er" dataDxfId="1883">
      <calculatedColumnFormula>SUM(tbl_Apartment_Multi[[#This Row],[Energy Intercept]],tbl_Apartment_Multi[[#This Row],[GCAC]],tbl_Apartment_Multi[[#This Row],[GCW]],tbl_Apartment_Multi[[#This Row],[GNCS]],tbl_Apartment_Multi[[#This Row],[Glift]],tbl_Apartment_Multi[[#This Row],[Gpool]],tbl_Apartment_Multi[[#This Row],[Ggym]],tbl_Apartment_Multi[[#This Row],[GCP]])*tbl_Apartment_Multi[[#This Row],[A]]</calculatedColumnFormula>
    </tableColumn>
    <tableColumn id="42" xr3:uid="{F31EA111-5C20-4F53-8C58-31D130F4D77D}" name="er Separate CP Cap" dataDxfId="1882">
      <calculatedColumnFormula>SUM(Apartment_C_E_Intercept,tbl_Apartment_Multi[[#This Row],[GCAC]],tbl_Apartment_Multi[[#This Row],[GCW]],tbl_Apartment_Multi[[#This Row],[GNCS]],tbl_Apartment_Multi[[#This Row],[Glift]],tbl_Apartment_Multi[[#This Row],[Gpool]],tbl_Apartment_Multi[[#This Row],[Ggym]],tbl_Apartment_Multi[[#This Row],[GCP Separate Cap]])*tbl_Apartment_Multi[[#This Row],[A]]</calculatedColumnFormula>
    </tableColumn>
    <tableColumn id="44" xr3:uid="{2C17583C-1FD3-4F9D-AF2B-79247E59990B}" name="A" dataDxfId="1881">
      <calculatedColumnFormula>Apartment_State_Specific_Adjustment</calculatedColumnFormula>
    </tableColumn>
    <tableColumn id="153" xr3:uid="{EADE8AA9-7FE1-44C2-BFAB-7980D3CE5053}" name="Energy Intercept" dataDxfId="1880">
      <calculatedColumnFormula>Apartment_C_E_Intercept</calculatedColumnFormula>
    </tableColumn>
    <tableColumn id="29" xr3:uid="{E8CB5973-7898-43B2-9A4B-B0825BB20ECB}" name="GCAC" dataDxfId="1879">
      <calculatedColumnFormula>tbl_Apartment_Multi[[#This Row],[NCAC]]/tbl_Apartment_Multi[[#This Row],[Apartments]]*Apartment_C_E_CAC</calculatedColumnFormula>
    </tableColumn>
    <tableColumn id="31" xr3:uid="{57F1092D-48E0-42E1-B773-9A59873682C6}" name="GCW" dataDxfId="1878">
      <calculatedColumnFormula>tbl_Apartment_Multi[[#This Row],[NCW]]/tbl_Apartment_Multi[[#This Row],[Apartments]]*Apartment_C_E_CW</calculatedColumnFormula>
    </tableColumn>
    <tableColumn id="32" xr3:uid="{994FB150-0191-4537-9223-694839A15FDC}" name="GNCS" dataDxfId="1877">
      <calculatedColumnFormula>tbl_Apartment_Multi[[#This Row],[NNCS]]/tbl_Apartment_Multi[[#This Row],[Apartments]]*Apartment_C_E_NCS</calculatedColumnFormula>
    </tableColumn>
    <tableColumn id="36" xr3:uid="{B2454792-3F19-4AC7-B2FE-8CDD67DC5B1C}" name="Glift" dataDxfId="1876">
      <calculatedColumnFormula>tbl_Apartment_Multi[[#This Row],[Nlift]]/tbl_Apartment_Multi[[#This Row],[Apartments]]*Apartment_C_E_lift</calculatedColumnFormula>
    </tableColumn>
    <tableColumn id="37" xr3:uid="{2624C5A1-58FA-481A-B38E-C4974C488F79}" name="Gpool" dataDxfId="1875">
      <calculatedColumnFormula>IF(tbl_Apartment_Multi[[#This Row],[Pool]]="Temperature controlled pool",IF(tbl_Apartment_Multi[[#This Row],[TMPA]]=0,12,tbl_Apartment_Multi[[#This Row],[TMPA]])/12*Apartment_C_E_pool,IF(tbl_Apartment_Multi[[#This Row],[Pool]]="Unheated pool",IF(tbl_Apartment_Multi[[#This Row],[TMPA]]=0,12,tbl_Apartment_Multi[[#This Row],[TMPA]])/12*Apartment_C_E_pool_noheat,0))</calculatedColumnFormula>
    </tableColumn>
    <tableColumn id="38" xr3:uid="{20149FFE-6586-4B14-8D10-A6BFE4AB02EF}" name="Ggym" dataDxfId="1874">
      <calculatedColumnFormula>IF(tbl_Apartment_Multi[[#This Row],[Gym]]="Yes",IF(tbl_Apartment_Multi[[#This Row],[TMGA]]=0,12,tbl_Apartment_Multi[[#This Row],[TMGA]])/12*Apartment_C_E_gym,0)</calculatedColumnFormula>
    </tableColumn>
    <tableColumn id="39" xr3:uid="{1E275F05-2C9D-4D45-84CC-442304486F93}" name="GCP" dataDxfId="1873">
      <calculatedColumnFormula>SUM(tbl_Apartment_Multi[[#This Row],[GCPMV]],tbl_Apartment_Multi[[#This Row],[GCPNV]])</calculatedColumnFormula>
    </tableColumn>
    <tableColumn id="23" xr3:uid="{986F6147-7721-48CF-9A7E-74C171BD22C3}" name="GCPMV" dataDxfId="1872">
      <calculatedColumnFormula>MIN(tbl_Apartment_Multi[[#This Row],[Apartments]]*2,tbl_Apartment_Multi[[#This Row],[CPMV]])*Apartment_C_E_MVCP/tbl_Apartment_Multi[[#This Row],[Apartments]]</calculatedColumnFormula>
    </tableColumn>
    <tableColumn id="24" xr3:uid="{16ADC382-B238-44D8-929E-A977AD210A1E}" name="GCPNV" dataDxfId="1871">
      <calculatedColumnFormula>MIN(tbl_Apartment_Multi[[#This Row],[Apartments]]*2-tbl_Apartment_Multi[[#This Row],[CPMV]],tbl_Apartment_Multi[[#This Row],[CPNV]])*Apartment_C_E_MVCP*Apartment_C_E_NVCPAdjusted/tbl_Apartment_Multi[[#This Row],[Apartments]]</calculatedColumnFormula>
    </tableColumn>
    <tableColumn id="41" xr3:uid="{A01F708E-E9A7-4BD3-92F3-5169CF4677BB}" name="GCP Separate Cap" dataDxfId="1870">
      <calculatedColumnFormula>SUM(MIN(tbl_Apartment_Multi[[#This Row],[Apartments]]*2,tbl_Apartment_Multi[[#This Row],[CPMV]])*Apartment_C_E_MVCP,tbl_Apartment_Multi[[#This Row],[CPNV]]*Apartment_C_E_NVCP)/tbl_Apartment_Multi[[#This Row],[Apartments]]</calculatedColumnFormula>
    </tableColumn>
    <tableColumn id="150" xr3:uid="{BB835EF5-6676-422D-B0EF-318DBB6FF876}" name="wr" dataDxfId="1869">
      <calculatedColumnFormula>SUM(tbl_Apartment_Multi[[#This Row],[Orig correction Single Water meter with central AC]],tbl_Apartment_Multi[[#This Row],[Orig correction Single Water meter no central AC]],tbl_Apartment_Multi[[#This Row],[Orig correction Apt water meter, central AC, DHW]],tbl_Apartment_Multi[[#This Row],[Orig correction Apt water meter, no central AC, DHW]],tbl_Apartment_Multi[[#This Row],[Orig correction Apt water meter, central AC, no DHW]],tbl_Apartment_Multi[[#This Row],[Orig correction Apt water meter, no central AC, no DHW]])</calculatedColumnFormula>
    </tableColumn>
    <tableColumn id="132" xr3:uid="{508C932D-C82B-4A5E-8B55-E0EB2F1F3BBD}" name=" Number Single Water meter with central AC" dataDxfId="1868">
      <calculatedColumnFormula>tbl_Apartment_Multi[[#This Row],[CentralColdWater]]*tbl_Apartment_Multi[[#This Row],[CentralACWater]]/tbl_Apartment_Multi[[#This Row],[Apartments]]</calculatedColumnFormula>
    </tableColumn>
    <tableColumn id="134" xr3:uid="{BB187B88-7A87-477A-9105-BD4C4D2BB713}" name=" Number Single Water meter no central AC" dataDxfId="1867">
      <calculatedColumnFormula>tbl_Apartment_Multi[[#This Row],[CentralColdWater]]*(tbl_Apartment_Multi[[#This Row],[Apartments]]-tbl_Apartment_Multi[[#This Row],[CentralACWater]])/tbl_Apartment_Multi[[#This Row],[Apartments]]</calculatedColumnFormula>
    </tableColumn>
    <tableColumn id="136" xr3:uid="{AC37D692-E3D8-4CBE-9569-E378E26BC117}" name=" Number Apt water meter, central AC, DHW" dataDxfId="1866">
      <calculatedColumnFormula>tbl_Apartment_Multi[[#This Row],[ColdWaterCentralDHW]]*tbl_Apartment_Multi[[#This Row],[CentralACWater]]/tbl_Apartment_Multi[[#This Row],[Apartments]]</calculatedColumnFormula>
    </tableColumn>
    <tableColumn id="62" xr3:uid="{35B7A452-5FE0-41A7-8FDF-28A322BA4A6D}" name=" Number Apt water meter, no central AC, DHW" dataDxfId="1865">
      <calculatedColumnFormula>tbl_Apartment_Multi[[#This Row],[ColdWaterCentralDHW]]*(tbl_Apartment_Multi[[#This Row],[Apartments]]-tbl_Apartment_Multi[[#This Row],[CentralACWater]])/tbl_Apartment_Multi[[#This Row],[Apartments]]</calculatedColumnFormula>
    </tableColumn>
    <tableColumn id="60" xr3:uid="{EC206A1B-5F25-4A34-ABAD-EF20FDE7E334}" name=" Number Apt water meter, central AC, no DHW" dataDxfId="1864">
      <calculatedColumnFormula>tbl_Apartment_Multi[[#This Row],[ColdWaterCentralNoDHW]]*tbl_Apartment_Multi[[#This Row],[CentralACWater]]/tbl_Apartment_Multi[[#This Row],[Apartments]]</calculatedColumnFormula>
    </tableColumn>
    <tableColumn id="130" xr3:uid="{236072FB-D72A-43CE-A3EA-B1EA60751AF7}" name=" Number Apt water meter, no central AC, no DHW" dataDxfId="1863">
      <calculatedColumnFormula>tbl_Apartment_Multi[[#This Row],[ColdWaterCentralNoDHW]]*(tbl_Apartment_Multi[[#This Row],[Apartments]]-tbl_Apartment_Multi[[#This Row],[CentralACWater]])/tbl_Apartment_Multi[[#This Row],[Apartments]]</calculatedColumnFormula>
    </tableColumn>
    <tableColumn id="138" xr3:uid="{9DA6A087-D2E8-47A6-B3EB-15DCE401ED7F}" name="Coeff Single Water meter with central AC" dataDxfId="1862">
      <calculatedColumnFormula>Apartment_C_W_SWMAC</calculatedColumnFormula>
    </tableColumn>
    <tableColumn id="139" xr3:uid="{1827E662-3E1B-4201-9079-82EA47A15EF2}" name="Coeff Single Water meter no central AC" dataDxfId="1861">
      <calculatedColumnFormula>Apartment_C_W_SWMNoAC</calculatedColumnFormula>
    </tableColumn>
    <tableColumn id="140" xr3:uid="{64EE924A-F11C-4C56-A020-6D332C92E675}" name="Coeff Apt water meter, central AC, DHW" dataDxfId="1860">
      <calculatedColumnFormula>Apartment_C_W_AWMACDHW</calculatedColumnFormula>
    </tableColumn>
    <tableColumn id="147" xr3:uid="{32A03B41-24B9-4BCC-AA9A-ACF7F091F392}" name="Coeff Apt water meter, no central AC, DHW" dataDxfId="1859">
      <calculatedColumnFormula>Apartment_C_W_AWMNoACDHW</calculatedColumnFormula>
    </tableColumn>
    <tableColumn id="144" xr3:uid="{74C6E6BC-237A-4D09-961F-87581BB276E3}" name="Coeff Apt water meter, central AC, no DHW" dataDxfId="1858">
      <calculatedColumnFormula>Apartment_C_W_AWMACNoDHW</calculatedColumnFormula>
    </tableColumn>
    <tableColumn id="149" xr3:uid="{B8A8C335-8B2F-4B55-81E4-901E75A3961C}" name="Coeff Apt water meter, no central AC, no DHW" dataDxfId="1857">
      <calculatedColumnFormula>Apartment_C_W_AWMNoACNoDHW</calculatedColumnFormula>
    </tableColumn>
    <tableColumn id="133" xr3:uid="{D1314870-4C1D-4D13-AD7F-050D3F6CB6A3}" name="Orig correction Single Water meter with central AC" dataDxfId="1856">
      <calculatedColumnFormula>tbl_Apartment_Multi[[#This Row],[ Number Single Water meter with central AC]]/tbl_Apartment_Multi[[Apartments]:[Apartments]]*Apartment_C_W_SWMAC</calculatedColumnFormula>
    </tableColumn>
    <tableColumn id="135" xr3:uid="{E984A88D-7E6D-4B00-9301-687420D00331}" name="Orig correction Single Water meter no central AC" dataDxfId="1855">
      <calculatedColumnFormula>tbl_Apartment_Multi[[#This Row],[ Number Single Water meter no central AC]]/tbl_Apartment_Multi[[Apartments]:[Apartments]]*Apartment_C_W_SWMNoAC</calculatedColumnFormula>
    </tableColumn>
    <tableColumn id="137" xr3:uid="{C92CE14B-543F-47FB-9961-923030393C04}" name="Orig correction Apt water meter, central AC, DHW" dataDxfId="1854">
      <calculatedColumnFormula>tbl_Apartment_Multi[[#This Row],[ Number Apt water meter, central AC, DHW]]/tbl_Apartment_Multi[[Apartments]:[Apartments]]*Apartment_C_W_AWMACDHW</calculatedColumnFormula>
    </tableColumn>
    <tableColumn id="63" xr3:uid="{EC62F629-8FA3-4FFD-9AB3-8E6C66ED9437}" name="Orig correction Apt water meter, no central AC, DHW" dataDxfId="1853">
      <calculatedColumnFormula>tbl_Apartment_Multi[[#This Row],[ Number Apt water meter, no central AC, DHW]]/tbl_Apartment_Multi[[Apartments]:[Apartments]]*Apartment_C_W_AWMNoACDHW</calculatedColumnFormula>
    </tableColumn>
    <tableColumn id="61" xr3:uid="{F144B74F-C408-4365-A701-356E555D71B1}" name="Orig correction Apt water meter, central AC, no DHW" dataDxfId="1852">
      <calculatedColumnFormula>tbl_Apartment_Multi[[#This Row],[ Number Apt water meter, central AC, no DHW]]/tbl_Apartment_Multi[[Apartments]:[Apartments]]*Apartment_C_W_AWMACNoDHW</calculatedColumnFormula>
    </tableColumn>
    <tableColumn id="131" xr3:uid="{C5F5F00D-3EA9-4934-A227-6912C5CD3543}" name="Orig correction Apt water meter, no central AC, no DHW" dataDxfId="1851">
      <calculatedColumnFormula>tbl_Apartment_Multi[[#This Row],[ Number Apt water meter, no central AC, no DHW]]/tbl_Apartment_Multi[[Apartments]:[Apartments]]*Apartment_C_W_AWMNoACNoDHW</calculatedColumnFormula>
    </tableColumn>
    <tableColumn id="168" xr3:uid="{92C1B4EB-D5B8-41C3-A6C8-77E24DD886A0}" name="Predicted Emissions" dataDxfId="1850">
      <calculatedColumnFormula>tbl_Apartment_Multi[[#This Row],[er]]*tbl_Apartment_Multi[[#This Row],[Apartments]]</calculatedColumnFormula>
    </tableColumn>
    <tableColumn id="234" xr3:uid="{4823378B-9CC6-49C1-8E2E-BE5D56D0B84C}" name="Target Max Energy BF" dataDxfId="1849">
      <calculatedColumnFormula>(tbl_Apartment_Multi[[#This Row],[Target Energy]]-7)/(-6/159)+Apartment_BF_Rating_Correction</calculatedColumnFormula>
    </tableColumn>
    <tableColumn id="237" xr3:uid="{FCB10D34-F15B-4735-9569-83AC605FC39C}" name="Target Max e" dataDxfId="1848">
      <calculatedColumnFormula>tbl_Apartment_Multi[[#This Row],[Target Max Energy BF]]/100*tbl_Apartment_Multi[[er]:[er]]</calculatedColumnFormula>
    </tableColumn>
    <tableColumn id="238" xr3:uid="{D500A455-03A7-432C-9249-54CC324820CC}" name="Target Max CO2" dataDxfId="1847">
      <calculatedColumnFormula>tbl_Apartment_Multi[[#This Row],[Target Max e]]*tbl_Apartment_Multi[[Apartments]:[Apartments]]</calculatedColumnFormula>
    </tableColumn>
    <tableColumn id="239" xr3:uid="{71FD707C-489A-4DEB-A13A-B58E3AA375DD}" name="Target Max Energy (MJ)" dataDxfId="1846">
      <calculatedColumnFormula>tbl_Apartment_Multi[[#This Row],[Target Max CO2]]/tbl_Apartment_Multi[[EffGHG]:[EffGHG]]</calculatedColumnFormula>
    </tableColumn>
    <tableColumn id="40" xr3:uid="{D88FF3F4-675B-4A76-9EB1-3C0CB24D3E7D}" name="Target Max Energy Intensity" dataDxfId="1845">
      <calculatedColumnFormula>tbl_Apartment_Multi[[#This Row],[Target Max Energy (MJ)]]/tbl_Apartment_Multi[[#This Row],[Apartments]]</calculatedColumnFormula>
    </tableColumn>
    <tableColumn id="240" xr3:uid="{8BC401FC-AA9C-4426-A04E-7C2D3F93427B}" name="Target Max Elec (kWh)" dataDxfId="1844">
      <calculatedColumnFormula>ROUNDDOWN(tbl_Apartment_Multi[[#This Row],[Target Max Energy (MJ)]]*tbl_Apartment_Multi[[Electricity (%)]:[Electricity (%)]]/tbl_Apartment_Multi[[CFelec]:[CFelec]],0)</calculatedColumnFormula>
    </tableColumn>
    <tableColumn id="241" xr3:uid="{61B01ACC-E51C-4D49-BEAF-D4B3857BAB60}" name="Target Max Gas (MJ)" dataDxfId="1843">
      <calculatedColumnFormula>ROUNDDOWN(tbl_Apartment_Multi[[#This Row],[Target Max Energy (MJ)]]*tbl_Apartment_Multi[[Gas (%)]:[Gas (%)]],0)</calculatedColumnFormula>
    </tableColumn>
    <tableColumn id="242" xr3:uid="{307E06BA-2E68-4AC3-AE54-53B59C7345B9}" name="Target Max Diesel (L)" dataDxfId="1842">
      <calculatedColumnFormula>ROUNDDOWN(tbl_Apartment_Multi[[#This Row],[Target Max Energy (MJ)]]*tbl_Apartment_Multi[[Diesel (%)]:[Diesel (%)]]/tbl_Apartment_Multi[[CFdiesel]:[CFdiesel]],0)</calculatedColumnFormula>
    </tableColumn>
    <tableColumn id="252" xr3:uid="{08FB4F8F-CF36-43B1-83FA-09BE8AEDA4EC}" name="Target Scopes 1,2&amp;3" dataDxfId="1841">
      <calculatedColumnFormula>SUM(tbl_Apartment_Multi[[#This Row],[Target Max Elec (kWh)]]*tbl_Apartment_Multi[[#This Row],[SGEe Scopes 1,2&amp;3]],
tbl_Apartment_Multi[[#This Row],[Target Max Gas (MJ)]]*tbl_Apartment_Multi[[#This Row],[SGEg Scopes 1,2&amp;3]],
tbl_Apartment_Multi[[#This Row],[Target Max Diesel (L)]]*tbl_Apartment_Multi[[#This Row],[SGEd Scopes 1,2&amp;3]])</calculatedColumnFormula>
    </tableColumn>
    <tableColumn id="253" xr3:uid="{903E3E0A-2AB2-4225-93C8-C26BCC0069C6}" name="Target Scopes 1&amp;2" dataDxfId="1840">
      <calculatedColumnFormula>SUM(tbl_Apartment_Multi[[#This Row],[Target Max Elec (kWh)]]*tbl_Apartment_Multi[[#This Row],[SGEe Scopes 1&amp;2]],
tbl_Apartment_Multi[[#This Row],[Target Max Gas (MJ)]]*tbl_Apartment_Multi[[#This Row],[SGEg Scopes 1&amp;2]],
tbl_Apartment_Multi[[#This Row],[Target Max Diesel (L)]]*tbl_Apartment_Multi[[#This Row],[SGEd Scopes 1&amp;2]])</calculatedColumnFormula>
    </tableColumn>
    <tableColumn id="170" xr3:uid="{49B4A330-9895-4D6B-8603-403003B292F8}" name="Predicted Water" dataDxfId="1839">
      <calculatedColumnFormula>tbl_Apartment_Multi[[#This Row],[wr]]*tbl_Apartment_Multi[[#This Row],[Apartments]]</calculatedColumnFormula>
    </tableColumn>
    <tableColumn id="254" xr3:uid="{9FE56B64-6CFD-4C41-AF5A-A7020506D631}" name="Target Max Water BF" dataDxfId="1838">
      <calculatedColumnFormula>(tbl_Apartment_Multi[[#This Row],[Target Water]]-7)/(-6/159)+Apartment_BF_Rating_Correction</calculatedColumnFormula>
    </tableColumn>
    <tableColumn id="172" xr3:uid="{A918C412-DF36-4CCD-A22F-D86CA832DF42}" name="Target Max Water (kL)" dataDxfId="1837">
      <calculatedColumnFormula>ROUNDDOWN(tbl_Apartment_Multi[[#This Row],[Target Max Water BF]]/100*tbl_Apartment_Multi[[wr]:[wr]]*tbl_Apartment_Multi[[Apartments]:[Apartments]],0)</calculatedColumnFormula>
    </tableColumn>
    <tableColumn id="16" xr3:uid="{9F3C453F-565F-412E-A839-6B17A3638BE5}" name="Target Max Water Intensity" dataDxfId="1836">
      <calculatedColumnFormula>tbl_Apartment_Multi[[#This Row],[Target Max Water BF]]/100*tbl_Apartment_Multi[[wr]:[wr]]</calculatedColumnFormula>
    </tableColumn>
    <tableColumn id="64" xr3:uid="{B2234959-D724-45BC-B79D-A730BCAB2E68}" name="6.0* Max BF" dataDxfId="1835">
      <calculatedColumnFormula>(LEFT(tbl_Apartment_Multi[[#Headers],[6.0* Max BF]],3)-7)/(-6/159)+Apartment_BF_Rating_Correction</calculatedColumnFormula>
    </tableColumn>
    <tableColumn id="65" xr3:uid="{04FFCA58-082A-45E8-A9C2-7601B9813707}" name="5.5* Max BF" dataDxfId="1834">
      <calculatedColumnFormula>(LEFT(tbl_Apartment_Multi[[#Headers],[5.5* Max BF]],3)-7)/(-6/159)+Apartment_BF_Rating_Correction</calculatedColumnFormula>
    </tableColumn>
    <tableColumn id="66" xr3:uid="{906A7795-1B54-49F2-A156-3176A19154C8}" name="5.0* Max BF" dataDxfId="1833">
      <calculatedColumnFormula>(LEFT(tbl_Apartment_Multi[[#Headers],[5.0* Max BF]],3)-7)/(-6/159)+Apartment_BF_Rating_Correction</calculatedColumnFormula>
    </tableColumn>
    <tableColumn id="67" xr3:uid="{C64F0D00-580F-40DC-B4AF-A06E1FB82474}" name="4.5* Max BF" dataDxfId="1832">
      <calculatedColumnFormula>(LEFT(tbl_Apartment_Multi[[#Headers],[4.5* Max BF]],3)-7)/(-6/159)+Apartment_BF_Rating_Correction</calculatedColumnFormula>
    </tableColumn>
    <tableColumn id="68" xr3:uid="{0CE19146-DF60-4265-9936-8F3C02DF4BBE}" name="4.0* Max BF" dataDxfId="1831">
      <calculatedColumnFormula>(LEFT(tbl_Apartment_Multi[[#Headers],[4.0* Max BF]],3)-7)/(-6/159)+Apartment_BF_Rating_Correction</calculatedColumnFormula>
    </tableColumn>
    <tableColumn id="69" xr3:uid="{35010829-58A2-4374-BA76-55834BF4EE76}" name="3.5* Max BF" dataDxfId="1830">
      <calculatedColumnFormula>(LEFT(tbl_Apartment_Multi[[#Headers],[3.5* Max BF]],3)-7)/(-6/159)+Apartment_BF_Rating_Correction</calculatedColumnFormula>
    </tableColumn>
    <tableColumn id="70" xr3:uid="{69F03162-16B9-416E-ABE4-B140959B1FD2}" name="3.0* Max BF" dataDxfId="1829">
      <calculatedColumnFormula>(LEFT(tbl_Apartment_Multi[[#Headers],[3.0* Max BF]],3)-7)/(-6/159)+Apartment_BF_Rating_Correction</calculatedColumnFormula>
    </tableColumn>
    <tableColumn id="71" xr3:uid="{7210A61A-2CB8-4AC9-8745-A7767792512A}" name="2.5* Max BF" dataDxfId="1828">
      <calculatedColumnFormula>(LEFT(tbl_Apartment_Multi[[#Headers],[2.5* Max BF]],3)-7)/(-6/159)+Apartment_BF_Rating_Correction</calculatedColumnFormula>
    </tableColumn>
    <tableColumn id="72" xr3:uid="{3712F2AA-A449-4662-8FBD-E94095ABA2F3}" name="2.0* Max BF" dataDxfId="1827">
      <calculatedColumnFormula>(LEFT(tbl_Apartment_Multi[[#Headers],[2.0* Max BF]],3)-7)/(-6/159)+Apartment_BF_Rating_Correction</calculatedColumnFormula>
    </tableColumn>
    <tableColumn id="73" xr3:uid="{431C4EBF-4FD4-4A39-9340-EB1BFECFCCC7}" name="1.5* Max BF" dataDxfId="1826">
      <calculatedColumnFormula>(LEFT(tbl_Apartment_Multi[[#Headers],[1.5* Max BF]],3)-7)/(-6/159)+Apartment_BF_Rating_Correction</calculatedColumnFormula>
    </tableColumn>
    <tableColumn id="74" xr3:uid="{AF882E9F-ECD8-47FD-A9DC-BAD68D80A8F0}" name="1.0* Max BF" dataDxfId="1825">
      <calculatedColumnFormula>(LEFT(tbl_Apartment_Multi[[#Headers],[1.0* Max BF]],3)-7)/(-6/159)+Apartment_BF_Rating_Correction</calculatedColumnFormula>
    </tableColumn>
    <tableColumn id="184" xr3:uid="{67F53868-C0D0-462A-B855-1464CC5C16EA}" name="0.0* Max BF" dataDxfId="1824">
      <calculatedColumnFormula>(LEFT(tbl_Apartment_Multi[[#Headers],[0.0* Max BF]],3)-7)/(-6/159)+Apartment_BF_Rating_Correction</calculatedColumnFormula>
    </tableColumn>
    <tableColumn id="75" xr3:uid="{DCD1E309-B5E2-4897-9BE9-2C4D64C2F703}" name="6.0* Max e" dataDxfId="1823">
      <calculatedColumnFormula>tbl_Apartment_Multi[[#This Row],[6.0* Max BF]]/100*tbl_Apartment_Multi[[er]:[er]]</calculatedColumnFormula>
    </tableColumn>
    <tableColumn id="76" xr3:uid="{358DA83D-98EB-4A9F-99F0-98F3BFE3E026}" name="5.5* Max e" dataDxfId="1822">
      <calculatedColumnFormula>tbl_Apartment_Multi[[#This Row],[5.5* Max BF]]/100*tbl_Apartment_Multi[[er]:[er]]</calculatedColumnFormula>
    </tableColumn>
    <tableColumn id="77" xr3:uid="{BAE3DF1C-C77B-4B82-92C4-455957D0B9E5}" name="5.0* Max e" dataDxfId="1821">
      <calculatedColumnFormula>tbl_Apartment_Multi[[#This Row],[5.0* Max BF]]/100*tbl_Apartment_Multi[[er]:[er]]</calculatedColumnFormula>
    </tableColumn>
    <tableColumn id="78" xr3:uid="{0DE16696-F752-4103-A93D-2EC4586796BF}" name="4.5* Max e" dataDxfId="1820">
      <calculatedColumnFormula>tbl_Apartment_Multi[[#This Row],[4.5* Max BF]]/100*tbl_Apartment_Multi[[er]:[er]]</calculatedColumnFormula>
    </tableColumn>
    <tableColumn id="79" xr3:uid="{6829A546-AAB1-4770-812F-C4C08C11F2E4}" name="4.0* Max e" dataDxfId="1819">
      <calculatedColumnFormula>tbl_Apartment_Multi[[#This Row],[4.0* Max BF]]/100*tbl_Apartment_Multi[[er]:[er]]</calculatedColumnFormula>
    </tableColumn>
    <tableColumn id="80" xr3:uid="{05A2B9D5-9000-426E-AC7A-5D2792D30969}" name="3.5* Max e" dataDxfId="1818">
      <calculatedColumnFormula>tbl_Apartment_Multi[[#This Row],[3.5* Max BF]]/100*tbl_Apartment_Multi[[er]:[er]]</calculatedColumnFormula>
    </tableColumn>
    <tableColumn id="81" xr3:uid="{B1476995-0E12-4AD8-9D36-953844F05683}" name="3.0* Max e" dataDxfId="1817">
      <calculatedColumnFormula>tbl_Apartment_Multi[[#This Row],[3.0* Max BF]]/100*tbl_Apartment_Multi[[er]:[er]]</calculatedColumnFormula>
    </tableColumn>
    <tableColumn id="82" xr3:uid="{65AC81B4-E4E3-4C4E-80A2-D54796ED391F}" name="2.5* Max e" dataDxfId="1816">
      <calculatedColumnFormula>tbl_Apartment_Multi[[#This Row],[2.5* Max BF]]/100*tbl_Apartment_Multi[[er]:[er]]</calculatedColumnFormula>
    </tableColumn>
    <tableColumn id="83" xr3:uid="{8FE9ED02-394E-47D7-83A1-89DD11507859}" name="2.0* Max e" dataDxfId="1815">
      <calculatedColumnFormula>tbl_Apartment_Multi[[#This Row],[2.0* Max BF]]/100*tbl_Apartment_Multi[[er]:[er]]</calculatedColumnFormula>
    </tableColumn>
    <tableColumn id="84" xr3:uid="{C8914D23-5416-41CF-B22A-F6BE25F00DF4}" name="1.5* Max e" dataDxfId="1814">
      <calculatedColumnFormula>tbl_Apartment_Multi[[#This Row],[1.5* Max BF]]/100*tbl_Apartment_Multi[[er]:[er]]</calculatedColumnFormula>
    </tableColumn>
    <tableColumn id="85" xr3:uid="{8FC86BE3-3EA4-47C8-AF90-AAA6D0E93CD6}" name="1.0* Max e" dataDxfId="1813">
      <calculatedColumnFormula>tbl_Apartment_Multi[[#This Row],[1.0* Max BF]]/100*tbl_Apartment_Multi[[er]:[er]]</calculatedColumnFormula>
    </tableColumn>
    <tableColumn id="183" xr3:uid="{D259B034-E62F-4A13-BFFE-73B51FD91C9E}" name="0.0* Max e" dataDxfId="1812">
      <calculatedColumnFormula>tbl_Apartment_Multi[[#This Row],[0.0* Max BF]]/100*tbl_Apartment_Multi[[er]:[er]]</calculatedColumnFormula>
    </tableColumn>
    <tableColumn id="86" xr3:uid="{03A00B15-07D8-4B25-902A-5243C7894A41}" name="6.0* Max CO2" dataDxfId="1811">
      <calculatedColumnFormula>tbl_Apartment_Multi[[#This Row],[6.0* Max e]]*tbl_Apartment_Multi[[Apartments]:[Apartments]]</calculatedColumnFormula>
    </tableColumn>
    <tableColumn id="87" xr3:uid="{DCFF273E-B0AC-498A-8F8F-2DBF78EA1C87}" name="5.5* Max CO2" dataDxfId="1810">
      <calculatedColumnFormula>tbl_Apartment_Multi[[#This Row],[5.5* Max e]]*tbl_Apartment_Multi[[Apartments]:[Apartments]]</calculatedColumnFormula>
    </tableColumn>
    <tableColumn id="88" xr3:uid="{1FF8EBD8-751C-4961-B2F0-58673DCA3FE5}" name="5.0* Max CO2" dataDxfId="1809">
      <calculatedColumnFormula>tbl_Apartment_Multi[[#This Row],[5.0* Max e]]*tbl_Apartment_Multi[[Apartments]:[Apartments]]</calculatedColumnFormula>
    </tableColumn>
    <tableColumn id="89" xr3:uid="{5EAF83FA-0312-4BE7-BEF3-4DA0DD618CDF}" name="4.5* Max CO2" dataDxfId="1808">
      <calculatedColumnFormula>tbl_Apartment_Multi[[#This Row],[4.5* Max e]]*tbl_Apartment_Multi[[Apartments]:[Apartments]]</calculatedColumnFormula>
    </tableColumn>
    <tableColumn id="90" xr3:uid="{32C082EA-3B6A-4C8D-B386-25DC926D87BF}" name="4.0* Max CO2" dataDxfId="1807">
      <calculatedColumnFormula>tbl_Apartment_Multi[[#This Row],[4.0* Max e]]*tbl_Apartment_Multi[[Apartments]:[Apartments]]</calculatedColumnFormula>
    </tableColumn>
    <tableColumn id="91" xr3:uid="{BEC71511-0DA9-45B7-B780-136C1218AE4A}" name="3.5* Max CO2" dataDxfId="1806">
      <calculatedColumnFormula>tbl_Apartment_Multi[[#This Row],[3.5* Max e]]*tbl_Apartment_Multi[[Apartments]:[Apartments]]</calculatedColumnFormula>
    </tableColumn>
    <tableColumn id="92" xr3:uid="{E5C03980-9299-409C-AA0B-3E20C45693C2}" name="3.0* Max CO2" dataDxfId="1805">
      <calculatedColumnFormula>tbl_Apartment_Multi[[#This Row],[3.0* Max e]]*tbl_Apartment_Multi[[Apartments]:[Apartments]]</calculatedColumnFormula>
    </tableColumn>
    <tableColumn id="93" xr3:uid="{82E1E5D9-8646-41ED-B36E-44B200EE48D0}" name="2.5* Max CO2" dataDxfId="1804">
      <calculatedColumnFormula>tbl_Apartment_Multi[[#This Row],[2.5* Max e]]*tbl_Apartment_Multi[[Apartments]:[Apartments]]</calculatedColumnFormula>
    </tableColumn>
    <tableColumn id="94" xr3:uid="{04CB7E9E-1C8C-46EE-8F63-5DBEF66A01EC}" name="2.0* Max CO2" dataDxfId="1803">
      <calculatedColumnFormula>tbl_Apartment_Multi[[#This Row],[2.0* Max e]]*tbl_Apartment_Multi[[Apartments]:[Apartments]]</calculatedColumnFormula>
    </tableColumn>
    <tableColumn id="95" xr3:uid="{F8941F17-56CE-4636-9676-158487BF83EF}" name="1.5* Max CO2" dataDxfId="1802">
      <calculatedColumnFormula>tbl_Apartment_Multi[[#This Row],[1.5* Max e]]*tbl_Apartment_Multi[[Apartments]:[Apartments]]</calculatedColumnFormula>
    </tableColumn>
    <tableColumn id="96" xr3:uid="{FC3DECC4-17EE-4440-95BC-030FFE40A4C4}" name="1.0* Max CO2" dataDxfId="1801">
      <calculatedColumnFormula>tbl_Apartment_Multi[[#This Row],[1.0* Max e]]*tbl_Apartment_Multi[[Apartments]:[Apartments]]</calculatedColumnFormula>
    </tableColumn>
    <tableColumn id="182" xr3:uid="{E7AEF78B-C342-4B96-A780-A33DA57E4687}" name="0.0* Max CO2" dataDxfId="1800">
      <calculatedColumnFormula>tbl_Apartment_Multi[[#This Row],[0.0* Max e]]*tbl_Apartment_Multi[[Apartments]:[Apartments]]</calculatedColumnFormula>
    </tableColumn>
    <tableColumn id="155" xr3:uid="{07F68F9C-0613-4F52-8100-5E0ADBBC0779}" name="6.0* Max Energy (MJ)" dataDxfId="1799">
      <calculatedColumnFormula>tbl_Apartment_Multi[[#This Row],[6.0* Max CO2]]/tbl_Apartment_Multi[[EffGHG]:[EffGHG]]</calculatedColumnFormula>
    </tableColumn>
    <tableColumn id="156" xr3:uid="{42459EE9-12C7-4B52-A310-B23485AC1BB5}" name="5.5* Max Energy (MJ)" dataDxfId="1798">
      <calculatedColumnFormula>tbl_Apartment_Multi[[#This Row],[5.5* Max CO2]]/tbl_Apartment_Multi[[EffGHG]:[EffGHG]]</calculatedColumnFormula>
    </tableColumn>
    <tableColumn id="157" xr3:uid="{48FBC94E-2EEF-4B81-8567-CE1926A7625C}" name="5.0* Max Energy (MJ)" dataDxfId="1797">
      <calculatedColumnFormula>tbl_Apartment_Multi[[#This Row],[5.0* Max CO2]]/tbl_Apartment_Multi[[EffGHG]:[EffGHG]]</calculatedColumnFormula>
    </tableColumn>
    <tableColumn id="158" xr3:uid="{1ED24015-0575-432A-A480-C64B031694D4}" name="4.5* Max Energy (MJ)" dataDxfId="1796">
      <calculatedColumnFormula>tbl_Apartment_Multi[[#This Row],[4.5* Max CO2]]/tbl_Apartment_Multi[[EffGHG]:[EffGHG]]</calculatedColumnFormula>
    </tableColumn>
    <tableColumn id="159" xr3:uid="{D3B03CAA-BE34-4348-8F13-D61CD6BABCF6}" name="4.0* Max Energy (MJ)" dataDxfId="1795">
      <calculatedColumnFormula>tbl_Apartment_Multi[[#This Row],[4.0* Max CO2]]/tbl_Apartment_Multi[[EffGHG]:[EffGHG]]</calculatedColumnFormula>
    </tableColumn>
    <tableColumn id="160" xr3:uid="{85246881-5422-494D-8A64-386E9ED9A1B1}" name="3.5* Max Energy (MJ)" dataDxfId="1794">
      <calculatedColumnFormula>tbl_Apartment_Multi[[#This Row],[3.5* Max CO2]]/tbl_Apartment_Multi[[EffGHG]:[EffGHG]]</calculatedColumnFormula>
    </tableColumn>
    <tableColumn id="161" xr3:uid="{1615571D-E58C-4963-BD12-60301177546C}" name="3.0* Max Energy (MJ)" dataDxfId="1793">
      <calculatedColumnFormula>tbl_Apartment_Multi[[#This Row],[3.0* Max CO2]]/tbl_Apartment_Multi[[EffGHG]:[EffGHG]]</calculatedColumnFormula>
    </tableColumn>
    <tableColumn id="162" xr3:uid="{DA7F8971-6C4F-46EF-9F9C-CBDB7D26153D}" name="2.5* Max Energy (MJ)" dataDxfId="1792">
      <calculatedColumnFormula>tbl_Apartment_Multi[[#This Row],[2.5* Max CO2]]/tbl_Apartment_Multi[[EffGHG]:[EffGHG]]</calculatedColumnFormula>
    </tableColumn>
    <tableColumn id="163" xr3:uid="{FB0181D4-54D7-48F2-8FDD-94ED5C1D91D3}" name="2.0* Max Energy (MJ)" dataDxfId="1791">
      <calculatedColumnFormula>tbl_Apartment_Multi[[#This Row],[2.0* Max CO2]]/tbl_Apartment_Multi[[EffGHG]:[EffGHG]]</calculatedColumnFormula>
    </tableColumn>
    <tableColumn id="164" xr3:uid="{CC93384B-8D59-4A57-A32F-48DFBF533D46}" name="1.5* Max Energy (MJ)" dataDxfId="1790">
      <calculatedColumnFormula>tbl_Apartment_Multi[[#This Row],[1.5* Max CO2]]/tbl_Apartment_Multi[[EffGHG]:[EffGHG]]</calculatedColumnFormula>
    </tableColumn>
    <tableColumn id="165" xr3:uid="{23240DDA-89BA-4AC0-A7CC-66F2B241A95E}" name="1.0* Max Energy (MJ)" dataDxfId="1789">
      <calculatedColumnFormula>tbl_Apartment_Multi[[#This Row],[1.0* Max CO2]]/tbl_Apartment_Multi[[EffGHG]:[EffGHG]]</calculatedColumnFormula>
    </tableColumn>
    <tableColumn id="181" xr3:uid="{544ECC0C-6F5C-447C-B68D-91D4B37A46A7}" name="0.0* Max Energy (MJ)" dataDxfId="1788">
      <calculatedColumnFormula>tbl_Apartment_Multi[[#This Row],[0.0* Max CO2]]/tbl_Apartment_Multi[[EffGHG]:[EffGHG]]</calculatedColumnFormula>
    </tableColumn>
    <tableColumn id="97" xr3:uid="{743DFC26-C3F3-4492-9D31-008D233EF631}" name="6.0* Max Elec (kWh)" dataDxfId="1787">
      <calculatedColumnFormula>ROUNDDOWN(tbl_Apartment_Multi[[#This Row],[6.0* Max Energy (MJ)]]*tbl_Apartment_Multi[[Electricity (%)]:[Electricity (%)]]/tbl_Apartment_Multi[[CFelec]:[CFelec]],0)</calculatedColumnFormula>
    </tableColumn>
    <tableColumn id="98" xr3:uid="{DD40EDAA-3B2E-4942-A220-D74C1C7CD751}" name="5.5* Max Elec (kWh)" dataDxfId="1786">
      <calculatedColumnFormula>ROUNDDOWN(tbl_Apartment_Multi[[#This Row],[5.5* Max Energy (MJ)]]*tbl_Apartment_Multi[[Electricity (%)]:[Electricity (%)]]/tbl_Apartment_Multi[[CFelec]:[CFelec]],0)</calculatedColumnFormula>
    </tableColumn>
    <tableColumn id="99" xr3:uid="{1F29B429-F9EF-4235-B0A2-322DCD008084}" name="5.0* Max Elec (kWh)" dataDxfId="1785">
      <calculatedColumnFormula>ROUNDDOWN(tbl_Apartment_Multi[[#This Row],[5.0* Max Energy (MJ)]]*tbl_Apartment_Multi[[Electricity (%)]:[Electricity (%)]]/tbl_Apartment_Multi[[CFelec]:[CFelec]],0)</calculatedColumnFormula>
    </tableColumn>
    <tableColumn id="100" xr3:uid="{35EA67E5-61EA-4881-8AB1-20069E500E33}" name="4.5* Max Elec (kWh)" dataDxfId="1784">
      <calculatedColumnFormula>ROUNDDOWN(tbl_Apartment_Multi[[#This Row],[4.5* Max Energy (MJ)]]*tbl_Apartment_Multi[[Electricity (%)]:[Electricity (%)]]/tbl_Apartment_Multi[[CFelec]:[CFelec]],0)</calculatedColumnFormula>
    </tableColumn>
    <tableColumn id="101" xr3:uid="{A8E83A01-CF57-49BE-ACC4-DC13FF975B71}" name="4.0* Max Elec (kWh)" dataDxfId="1783">
      <calculatedColumnFormula>ROUNDDOWN(tbl_Apartment_Multi[[#This Row],[4.0* Max Energy (MJ)]]*tbl_Apartment_Multi[[Electricity (%)]:[Electricity (%)]]/tbl_Apartment_Multi[[CFelec]:[CFelec]],0)</calculatedColumnFormula>
    </tableColumn>
    <tableColumn id="102" xr3:uid="{B5A9E608-F1B9-481B-A2BC-FFD11C653B78}" name="3.5* Max Elec (kWh)" dataDxfId="1782">
      <calculatedColumnFormula>ROUNDDOWN(tbl_Apartment_Multi[[#This Row],[3.5* Max Energy (MJ)]]*tbl_Apartment_Multi[[Electricity (%)]:[Electricity (%)]]/tbl_Apartment_Multi[[CFelec]:[CFelec]],0)</calculatedColumnFormula>
    </tableColumn>
    <tableColumn id="103" xr3:uid="{446EBBC6-5CD0-46D1-8BDD-A6AFFE8B21D1}" name="3.0* Max Elec (kWh)" dataDxfId="1781">
      <calculatedColumnFormula>ROUNDDOWN(tbl_Apartment_Multi[[#This Row],[3.0* Max Energy (MJ)]]*tbl_Apartment_Multi[[Electricity (%)]:[Electricity (%)]]/tbl_Apartment_Multi[[CFelec]:[CFelec]],0)</calculatedColumnFormula>
    </tableColumn>
    <tableColumn id="104" xr3:uid="{180DFF26-ED1A-426D-9D94-AA2D757638A0}" name="2.5* Max Elec (kWh)" dataDxfId="1780">
      <calculatedColumnFormula>ROUNDDOWN(tbl_Apartment_Multi[[#This Row],[2.5* Max Energy (MJ)]]*tbl_Apartment_Multi[[Electricity (%)]:[Electricity (%)]]/tbl_Apartment_Multi[[CFelec]:[CFelec]],0)</calculatedColumnFormula>
    </tableColumn>
    <tableColumn id="105" xr3:uid="{44ED5903-9117-4F61-B6D3-BEC01E60C620}" name="2.0* Max Elec (kWh)" dataDxfId="1779">
      <calculatedColumnFormula>ROUNDDOWN(tbl_Apartment_Multi[[#This Row],[2.0* Max Energy (MJ)]]*tbl_Apartment_Multi[[Electricity (%)]:[Electricity (%)]]/tbl_Apartment_Multi[[CFelec]:[CFelec]],0)</calculatedColumnFormula>
    </tableColumn>
    <tableColumn id="106" xr3:uid="{E82E4C31-794C-4ED7-800A-689E73B16853}" name="1.5* Max Elec (kWh)" dataDxfId="1778">
      <calculatedColumnFormula>ROUNDDOWN(tbl_Apartment_Multi[[#This Row],[1.5* Max Energy (MJ)]]*tbl_Apartment_Multi[[Electricity (%)]:[Electricity (%)]]/tbl_Apartment_Multi[[CFelec]:[CFelec]],0)</calculatedColumnFormula>
    </tableColumn>
    <tableColumn id="107" xr3:uid="{6F681351-DAEC-44A8-847B-ABD1208E2C8D}" name="1.0* Max Elec (kWh)" dataDxfId="1777">
      <calculatedColumnFormula>ROUNDDOWN(tbl_Apartment_Multi[[#This Row],[1.0* Max Energy (MJ)]]*tbl_Apartment_Multi[[Electricity (%)]:[Electricity (%)]]/tbl_Apartment_Multi[[CFelec]:[CFelec]],0)</calculatedColumnFormula>
    </tableColumn>
    <tableColumn id="175" xr3:uid="{4C54C5B9-0207-4084-AEC0-D584C6421ECD}" name="0.0* Max Elec (kWh)" dataDxfId="1776">
      <calculatedColumnFormula>ROUNDDOWN(tbl_Apartment_Multi[[#This Row],[0.0* Max Energy (MJ)]]*tbl_Apartment_Multi[[Electricity (%)]:[Electricity (%)]]/tbl_Apartment_Multi[[CFelec]:[CFelec]],0)</calculatedColumnFormula>
    </tableColumn>
    <tableColumn id="108" xr3:uid="{8649032B-55FA-44CF-B474-975019308E78}" name="6.0* Max Gas (MJ)" dataDxfId="1775">
      <calculatedColumnFormula>ROUNDDOWN(tbl_Apartment_Multi[[#This Row],[6.0* Max Energy (MJ)]]*tbl_Apartment_Multi[[Gas (%)]:[Gas (%)]],0)</calculatedColumnFormula>
    </tableColumn>
    <tableColumn id="109" xr3:uid="{CADEF059-2A69-44D8-B833-DA52463FC001}" name="5.5* Max Gas (MJ)" dataDxfId="1774">
      <calculatedColumnFormula>ROUNDDOWN(tbl_Apartment_Multi[[#This Row],[5.5* Max Energy (MJ)]]*tbl_Apartment_Multi[[Gas (%)]:[Gas (%)]],0)</calculatedColumnFormula>
    </tableColumn>
    <tableColumn id="110" xr3:uid="{87204F3E-F495-4AD2-B098-04CE90FB5AE3}" name="5.0* Max Gas (MJ)" dataDxfId="1773">
      <calculatedColumnFormula>ROUNDDOWN(tbl_Apartment_Multi[[#This Row],[5.0* Max Energy (MJ)]]*tbl_Apartment_Multi[[Gas (%)]:[Gas (%)]],0)</calculatedColumnFormula>
    </tableColumn>
    <tableColumn id="111" xr3:uid="{16BD94F8-EE9C-4591-B0A9-EFA3868003E1}" name="4.5* Max Gas (MJ)" dataDxfId="1772">
      <calculatedColumnFormula>ROUNDDOWN(tbl_Apartment_Multi[[#This Row],[4.5* Max Energy (MJ)]]*tbl_Apartment_Multi[[Gas (%)]:[Gas (%)]],0)</calculatedColumnFormula>
    </tableColumn>
    <tableColumn id="112" xr3:uid="{0D464EC0-34E8-41F3-9EC3-7D382D547AB1}" name="4.0* Max Gas (MJ)" dataDxfId="1771">
      <calculatedColumnFormula>ROUNDDOWN(tbl_Apartment_Multi[[#This Row],[4.0* Max Energy (MJ)]]*tbl_Apartment_Multi[[Gas (%)]:[Gas (%)]],0)</calculatedColumnFormula>
    </tableColumn>
    <tableColumn id="113" xr3:uid="{0A2FFC11-B9C8-4E2A-A786-2334043A50AB}" name="3.5* Max Gas (MJ)" dataDxfId="1770">
      <calculatedColumnFormula>ROUNDDOWN(tbl_Apartment_Multi[[#This Row],[3.5* Max Energy (MJ)]]*tbl_Apartment_Multi[[Gas (%)]:[Gas (%)]],0)</calculatedColumnFormula>
    </tableColumn>
    <tableColumn id="114" xr3:uid="{2727AA96-CEC4-409C-BADE-C66358E8628E}" name="3.0* Max Gas (MJ)" dataDxfId="1769">
      <calculatedColumnFormula>ROUNDDOWN(tbl_Apartment_Multi[[#This Row],[3.0* Max Energy (MJ)]]*tbl_Apartment_Multi[[Gas (%)]:[Gas (%)]],0)</calculatedColumnFormula>
    </tableColumn>
    <tableColumn id="115" xr3:uid="{0E7C1B6A-C53B-4510-B44B-E4B823FF44DC}" name="2.5* Max Gas (MJ)" dataDxfId="1768">
      <calculatedColumnFormula>ROUNDDOWN(tbl_Apartment_Multi[[#This Row],[2.5* Max Energy (MJ)]]*tbl_Apartment_Multi[[Gas (%)]:[Gas (%)]],0)</calculatedColumnFormula>
    </tableColumn>
    <tableColumn id="116" xr3:uid="{D572BB39-BB58-4384-82FB-D281EB3A531A}" name="2.0* Max Gas (MJ)" dataDxfId="1767">
      <calculatedColumnFormula>ROUNDDOWN(tbl_Apartment_Multi[[#This Row],[2.0* Max Energy (MJ)]]*tbl_Apartment_Multi[[Gas (%)]:[Gas (%)]],0)</calculatedColumnFormula>
    </tableColumn>
    <tableColumn id="117" xr3:uid="{A8223D1C-D568-45A4-B72D-AD8E662165E3}" name="1.5* Max Gas (MJ)" dataDxfId="1766">
      <calculatedColumnFormula>ROUNDDOWN(tbl_Apartment_Multi[[#This Row],[1.5* Max Energy (MJ)]]*tbl_Apartment_Multi[[Gas (%)]:[Gas (%)]],0)</calculatedColumnFormula>
    </tableColumn>
    <tableColumn id="118" xr3:uid="{1E69FEFA-4BA9-46FF-92AA-568D4294BA3E}" name="1.0* Max Gas (MJ)" dataDxfId="1765">
      <calculatedColumnFormula>ROUNDDOWN(tbl_Apartment_Multi[[#This Row],[1.0* Max Energy (MJ)]]*tbl_Apartment_Multi[[Gas (%)]:[Gas (%)]],0)</calculatedColumnFormula>
    </tableColumn>
    <tableColumn id="169" xr3:uid="{269E1FD7-1DD9-4DE1-9DCF-40C2532E8B04}" name="0.0* Max Gas (MJ)" dataDxfId="1764">
      <calculatedColumnFormula>ROUNDDOWN(tbl_Apartment_Multi[[#This Row],[0.0* Max Energy (MJ)]]*tbl_Apartment_Multi[[Gas (%)]:[Gas (%)]],0)</calculatedColumnFormula>
    </tableColumn>
    <tableColumn id="119" xr3:uid="{4D540E0D-0E54-48B7-BEEC-F2C904E69AE7}" name="6.0* Max Diesel (L)" dataDxfId="1763">
      <calculatedColumnFormula>ROUNDDOWN(tbl_Apartment_Multi[[#This Row],[6.0* Max Energy (MJ)]]*tbl_Apartment_Multi[[Diesel (%)]:[Diesel (%)]]/tbl_Apartment_Multi[[CFdiesel]:[CFdiesel]],0)</calculatedColumnFormula>
    </tableColumn>
    <tableColumn id="120" xr3:uid="{A2F7E32D-0901-4BF2-9132-63A1F08A1EC7}" name="5.5* Max Diesel (L)" dataDxfId="1762">
      <calculatedColumnFormula>ROUNDDOWN(tbl_Apartment_Multi[[#This Row],[5.5* Max Energy (MJ)]]*tbl_Apartment_Multi[[Diesel (%)]:[Diesel (%)]]/tbl_Apartment_Multi[[CFdiesel]:[CFdiesel]],0)</calculatedColumnFormula>
    </tableColumn>
    <tableColumn id="121" xr3:uid="{C9004BFA-CE58-4C99-91C3-B0673CAE30E1}" name="5.0* Max Diesel (L)" dataDxfId="1761">
      <calculatedColumnFormula>ROUNDDOWN(tbl_Apartment_Multi[[#This Row],[5.0* Max Energy (MJ)]]*tbl_Apartment_Multi[[Diesel (%)]:[Diesel (%)]]/tbl_Apartment_Multi[[CFdiesel]:[CFdiesel]],0)</calculatedColumnFormula>
    </tableColumn>
    <tableColumn id="122" xr3:uid="{9D4C052C-7197-4412-BA26-29EBDC518BA6}" name="4.5* Max Diesel (L)" dataDxfId="1760">
      <calculatedColumnFormula>ROUNDDOWN(tbl_Apartment_Multi[[#This Row],[4.5* Max Energy (MJ)]]*tbl_Apartment_Multi[[Diesel (%)]:[Diesel (%)]]/tbl_Apartment_Multi[[CFdiesel]:[CFdiesel]],0)</calculatedColumnFormula>
    </tableColumn>
    <tableColumn id="123" xr3:uid="{18FC191E-2146-4BB7-AF40-744C59DDD4CD}" name="4.0* Max Diesel (L)" dataDxfId="1759">
      <calculatedColumnFormula>ROUNDDOWN(tbl_Apartment_Multi[[#This Row],[4.0* Max Energy (MJ)]]*tbl_Apartment_Multi[[Diesel (%)]:[Diesel (%)]]/tbl_Apartment_Multi[[CFdiesel]:[CFdiesel]],0)</calculatedColumnFormula>
    </tableColumn>
    <tableColumn id="124" xr3:uid="{BA48AC70-C486-4982-AEC3-1404F543C2F2}" name="3.5* Max Diesel (L)" dataDxfId="1758">
      <calculatedColumnFormula>ROUNDDOWN(tbl_Apartment_Multi[[#This Row],[3.5* Max Energy (MJ)]]*tbl_Apartment_Multi[[Diesel (%)]:[Diesel (%)]]/tbl_Apartment_Multi[[CFdiesel]:[CFdiesel]],0)</calculatedColumnFormula>
    </tableColumn>
    <tableColumn id="125" xr3:uid="{8108C549-9F86-4D2B-9426-44B5EAB3F49C}" name="3.0* Max Diesel (L)" dataDxfId="1757">
      <calculatedColumnFormula>ROUNDDOWN(tbl_Apartment_Multi[[#This Row],[3.0* Max Energy (MJ)]]*tbl_Apartment_Multi[[Diesel (%)]:[Diesel (%)]]/tbl_Apartment_Multi[[CFdiesel]:[CFdiesel]],0)</calculatedColumnFormula>
    </tableColumn>
    <tableColumn id="126" xr3:uid="{94A3ECD0-A668-40D3-9767-3DDB5C97D40F}" name="2.5* Max Diesel (L)" dataDxfId="1756">
      <calculatedColumnFormula>ROUNDDOWN(tbl_Apartment_Multi[[#This Row],[2.5* Max Energy (MJ)]]*tbl_Apartment_Multi[[Diesel (%)]:[Diesel (%)]]/tbl_Apartment_Multi[[CFdiesel]:[CFdiesel]],0)</calculatedColumnFormula>
    </tableColumn>
    <tableColumn id="127" xr3:uid="{E1CD3BCB-FEB3-46E6-9B5E-1EC0B3F9FCAC}" name="2.0* Max Diesel (L)" dataDxfId="1755">
      <calculatedColumnFormula>ROUNDDOWN(tbl_Apartment_Multi[[#This Row],[2.0* Max Energy (MJ)]]*tbl_Apartment_Multi[[Diesel (%)]:[Diesel (%)]]/tbl_Apartment_Multi[[CFdiesel]:[CFdiesel]],0)</calculatedColumnFormula>
    </tableColumn>
    <tableColumn id="128" xr3:uid="{198366DA-51FA-428B-940A-6F9397BE76F5}" name="1.5* Max Diesel (L)" dataDxfId="1754">
      <calculatedColumnFormula>ROUNDDOWN(tbl_Apartment_Multi[[#This Row],[1.5* Max Energy (MJ)]]*tbl_Apartment_Multi[[Diesel (%)]:[Diesel (%)]]/tbl_Apartment_Multi[[CFdiesel]:[CFdiesel]],0)</calculatedColumnFormula>
    </tableColumn>
    <tableColumn id="129" xr3:uid="{B2F06744-13DA-4C6D-9907-10B5DF8E90BE}" name="1.0* Max Diesel (L)" dataDxfId="1753">
      <calculatedColumnFormula>ROUNDDOWN(tbl_Apartment_Multi[[#This Row],[1.0* Max Energy (MJ)]]*tbl_Apartment_Multi[[Diesel (%)]:[Diesel (%)]]/tbl_Apartment_Multi[[CFdiesel]:[CFdiesel]],0)</calculatedColumnFormula>
    </tableColumn>
    <tableColumn id="167" xr3:uid="{14E53E6D-DAA6-454C-B51F-A3D3760E6D58}" name="0.0* Max Diesel (L)" dataDxfId="1752">
      <calculatedColumnFormula>ROUNDDOWN(tbl_Apartment_Multi[[#This Row],[0.0* Max Energy (MJ)]]*tbl_Apartment_Multi[[Diesel (%)]:[Diesel (%)]]/tbl_Apartment_Multi[[CFdiesel]:[CFdiesel]],0)</calculatedColumnFormula>
    </tableColumn>
    <tableColumn id="193" xr3:uid="{B59D2026-3834-4ACE-AD66-2B8CE28A635E}" name="6.0* Max Water (kL)" dataDxfId="1751">
      <calculatedColumnFormula>ROUNDDOWN(tbl_Apartment_Multi[[#This Row],[6.0* Max BF]]/100*tbl_Apartment_Multi[[wr]:[wr]]*tbl_Apartment_Multi[[Apartments]:[Apartments]],0)</calculatedColumnFormula>
    </tableColumn>
    <tableColumn id="194" xr3:uid="{3E1E61C1-6315-4C44-BA96-BAF386D5C54C}" name="5.5* Max Water (kL)" dataDxfId="1750">
      <calculatedColumnFormula>ROUNDDOWN(tbl_Apartment_Multi[[#This Row],[5.5* Max BF]]/100*tbl_Apartment_Multi[[wr]:[wr]]*tbl_Apartment_Multi[[Apartments]:[Apartments]],0)</calculatedColumnFormula>
    </tableColumn>
    <tableColumn id="195" xr3:uid="{E667FD2E-9A44-476D-A65D-92E7B1BE1A73}" name="5.0* Max Water (kL)" dataDxfId="1749">
      <calculatedColumnFormula>ROUNDDOWN(tbl_Apartment_Multi[[#This Row],[5.0* Max BF]]/100*tbl_Apartment_Multi[[wr]:[wr]]*tbl_Apartment_Multi[[Apartments]:[Apartments]],0)</calculatedColumnFormula>
    </tableColumn>
    <tableColumn id="196" xr3:uid="{140A53CE-CD00-4A85-9A22-A2BD23C32539}" name="4.5* Max Water (kL)" dataDxfId="1748">
      <calculatedColumnFormula>ROUNDDOWN(tbl_Apartment_Multi[[#This Row],[4.5* Max BF]]/100*tbl_Apartment_Multi[[wr]:[wr]]*tbl_Apartment_Multi[[Apartments]:[Apartments]],0)</calculatedColumnFormula>
    </tableColumn>
    <tableColumn id="197" xr3:uid="{6D2EFCAC-582B-42F6-9779-70CE4A252F0D}" name="4.0* Max Water (kL)" dataDxfId="1747">
      <calculatedColumnFormula>ROUNDDOWN(tbl_Apartment_Multi[[#This Row],[4.0* Max BF]]/100*tbl_Apartment_Multi[[wr]:[wr]]*tbl_Apartment_Multi[[Apartments]:[Apartments]],0)</calculatedColumnFormula>
    </tableColumn>
    <tableColumn id="198" xr3:uid="{5446E6AC-21E7-407F-991D-62C9FCF53834}" name="3.5* Max Water (kL)" dataDxfId="1746">
      <calculatedColumnFormula>ROUNDDOWN(tbl_Apartment_Multi[[#This Row],[3.5* Max BF]]/100*tbl_Apartment_Multi[[wr]:[wr]]*tbl_Apartment_Multi[[Apartments]:[Apartments]],0)</calculatedColumnFormula>
    </tableColumn>
    <tableColumn id="199" xr3:uid="{12CC21C8-E27E-4AB1-93F5-89D930E3F123}" name="3.0* Max Water (kL)" dataDxfId="1745">
      <calculatedColumnFormula>ROUNDDOWN(tbl_Apartment_Multi[[#This Row],[3.0* Max BF]]/100*tbl_Apartment_Multi[[wr]:[wr]]*tbl_Apartment_Multi[[Apartments]:[Apartments]],0)</calculatedColumnFormula>
    </tableColumn>
    <tableColumn id="200" xr3:uid="{AEF0294D-A0F1-4A25-8439-07A90C2E7C00}" name="2.5* Max Water (kL)" dataDxfId="1744">
      <calculatedColumnFormula>ROUNDDOWN(tbl_Apartment_Multi[[#This Row],[2.5* Max BF]]/100*tbl_Apartment_Multi[[wr]:[wr]]*tbl_Apartment_Multi[[Apartments]:[Apartments]],0)</calculatedColumnFormula>
    </tableColumn>
    <tableColumn id="201" xr3:uid="{F3C9829D-1BE3-4DF2-9064-F33CD86E3A2A}" name="2.0* Max Water (kL)" dataDxfId="1743">
      <calculatedColumnFormula>ROUNDDOWN(tbl_Apartment_Multi[[#This Row],[2.0* Max BF]]/100*tbl_Apartment_Multi[[wr]:[wr]]*tbl_Apartment_Multi[[Apartments]:[Apartments]],0)</calculatedColumnFormula>
    </tableColumn>
    <tableColumn id="202" xr3:uid="{6087B288-0F9F-4028-B9A4-54F813892745}" name="1.5* Max Water (kL)" dataDxfId="1742">
      <calculatedColumnFormula>ROUNDDOWN(tbl_Apartment_Multi[[#This Row],[1.5* Max BF]]/100*tbl_Apartment_Multi[[wr]:[wr]]*tbl_Apartment_Multi[[Apartments]:[Apartments]],0)</calculatedColumnFormula>
    </tableColumn>
    <tableColumn id="203" xr3:uid="{5EB7B75D-2E43-47A4-9407-EBB781F248FD}" name="1.0* Max Water (kL)" dataDxfId="1741">
      <calculatedColumnFormula>ROUNDDOWN(tbl_Apartment_Multi[[#This Row],[1.0* Max BF]]/100*tbl_Apartment_Multi[[wr]:[wr]]*tbl_Apartment_Multi[[Apartments]:[Apartments]],0)</calculatedColumnFormula>
    </tableColumn>
    <tableColumn id="166" xr3:uid="{55A9AA11-E648-4DFE-9196-09FCB6802E42}" name="0.0* Max Water (kL)" dataDxfId="1740">
      <calculatedColumnFormula>ROUNDDOWN(tbl_Apartment_Multi[[#This Row],[0.0* Max BF]]/100*tbl_Apartment_Multi[[wr]:[wr]]*tbl_Apartment_Multi[[Apartments]:[Apartments]],0)</calculatedColumnFormula>
    </tableColumn>
    <tableColumn id="171" xr3:uid="{B63D1310-B8D9-4531-8EB2-710EEA276B5D}" name="FWD Scope 1,2&amp;3" dataDxfId="1739">
      <calculatedColumnFormula>SUM(tbl_Apartment_Multi[[#This Row],[Electricity]]*(1-tbl_Apartment_Multi[[#This Row],[GP]])*tbl_Apartment_Multi[[#This Row],[SGEe Scopes 1,2&amp;3]],
tbl_Apartment_Multi[[#This Row],[Gas]]*tbl_Apartment_Multi[[#This Row],[SGEg Scopes 1,2&amp;3]],
tbl_Apartment_Multi[[#This Row],[Diesel]]*tbl_Apartment_Multi[[#This Row],[SGEd Scopes 1,2&amp;3]])</calculatedColumnFormula>
    </tableColumn>
    <tableColumn id="173" xr3:uid="{13D3F0A8-503C-414B-8A27-52B4375E83C9}" name="FWD Scope 1&amp;2" dataDxfId="1738">
      <calculatedColumnFormula>SUM(tbl_Apartment_Multi[[#This Row],[Electricity]]*(1-tbl_Apartment_Multi[[#This Row],[GP]])*tbl_Apartment_Multi[[#This Row],[SGEe Scopes 1&amp;2]],
tbl_Apartment_Multi[[#This Row],[Gas]]*tbl_Apartment_Multi[[#This Row],[SGEg Scopes 1&amp;2]],
tbl_Apartment_Multi[[#This Row],[Diesel]]*tbl_Apartment_Multi[[#This Row],[SGEd Scopes 1&amp;2]])</calculatedColumnFormula>
    </tableColumn>
    <tableColumn id="220" xr3:uid="{1AAA0ED5-C768-444E-A095-787321FB531D}" name="Energy Star (with GP)" dataDxfId="1737">
      <calculatedColumnFormula>IF(tbl_Apartment_Multi[[#This Row],[Energy Star Decimal (with GP)]]&lt;1,1,MIN(ROUNDDOWN(tbl_Apartment_Multi[[#This Row],[Energy Star Decimal (with GP)]]*2,0)/2,6))</calculatedColumnFormula>
    </tableColumn>
    <tableColumn id="221" xr3:uid="{96AE1DD6-C748-4795-ACBA-72C4DC6FE837}" name="Energy Star Decimal (with GP)" dataDxfId="1736">
      <calculatedColumnFormula>((tbl_Apartment_Multi[[#This Row],[e-BF (with GP)]]*(-6/159)+7)*2)/2</calculatedColumnFormula>
    </tableColumn>
    <tableColumn id="48" xr3:uid="{3AE3BF7E-2D8C-4C78-8DDB-5E125D86E466}" name="Energy Star (no GP)" dataDxfId="1735">
      <calculatedColumnFormula>IF(tbl_Apartment_Multi[[#This Row],[Energy Star Decimal (no GP)]]&lt;1,1,MIN(ROUNDDOWN(tbl_Apartment_Multi[[#This Row],[Energy Star Decimal (no GP)]]*2,0)/2,6))</calculatedColumnFormula>
    </tableColumn>
    <tableColumn id="49" xr3:uid="{7AAEF673-2E8C-4D91-88B0-812F4977BC44}" name="Energy Star Decimal (no GP)" dataDxfId="1734">
      <calculatedColumnFormula>((tbl_Apartment_Multi[[#This Row],[e-BF (no GP)]]*(-6/159)+7)*2)/2</calculatedColumnFormula>
    </tableColumn>
    <tableColumn id="176" xr3:uid="{7ECA78EA-6992-446B-9299-C7E4BE88AF60}" name="e (with GP)" dataDxfId="1733">
      <calculatedColumnFormula>SUM(tbl_Apartment_Multi[[#This Row],[Electricity]]*(1-tbl_Apartment_Multi[[#This Row],[GP]])*tbl_Apartment_Multi[[#This Row],[SGEe]],
tbl_Apartment_Multi[[#This Row],[Gas]]*tbl_Apartment_Multi[[#This Row],[SGEg]],
tbl_Apartment_Multi[[#This Row],[Diesel]]*tbl_Apartment_Multi[[#This Row],[SGEd]])
/tbl_Apartment_Multi[[#This Row],[Apartments]]</calculatedColumnFormula>
    </tableColumn>
    <tableColumn id="45" xr3:uid="{4EF01F99-901F-4D1D-AECD-4D844D7B2FFE}" name="e (no GP)" dataDxfId="1732">
      <calculatedColumnFormula>SUM(tbl_Apartment_Multi[[#This Row],[Electricity]]*tbl_Apartment_Multi[[#This Row],[SGEe]],
tbl_Apartment_Multi[[#This Row],[Gas]]*tbl_Apartment_Multi[[#This Row],[SGEg]],
tbl_Apartment_Multi[[#This Row],[Diesel]]*tbl_Apartment_Multi[[#This Row],[SGEd]])
/tbl_Apartment_Multi[[#This Row],[Apartments]]</calculatedColumnFormula>
    </tableColumn>
    <tableColumn id="174" xr3:uid="{04002CA7-DCA6-4A46-BA22-45759574B180}" name="e-BF (with GP)" dataDxfId="1731">
      <calculatedColumnFormula>tbl_Apartment_Multi[[#This Row],[e (with GP)]]/tbl_Apartment_Multi[[#This Row],[er]]*100</calculatedColumnFormula>
    </tableColumn>
    <tableColumn id="46" xr3:uid="{56A1E7A5-8F2F-4D2C-BB02-D3D81220A4E0}" name="e-BF (no GP)" dataDxfId="1730">
      <calculatedColumnFormula>tbl_Apartment_Multi[[#This Row],[e (no GP)]]/tbl_Apartment_Multi[[#This Row],[er]]*100</calculatedColumnFormula>
    </tableColumn>
    <tableColumn id="189" xr3:uid="{9ECBD421-3276-4FF5-9F91-2993E8A2CD5C}" name="Water Star (with recyc)" dataDxfId="1729">
      <calculatedColumnFormula>IF(tbl_Apartment_Multi[[#This Row],[Water Star Decimal (with recyc)]]&lt;1,1,MIN(ROUNDDOWN(tbl_Apartment_Multi[[#This Row],[Water Star Decimal (with recyc)]]*2,0)/2,6))</calculatedColumnFormula>
    </tableColumn>
    <tableColumn id="190" xr3:uid="{6A179AE7-91F0-4DE2-9B6D-44333E357A9A}" name="Water Star Decimal (with recyc)" dataDxfId="1728">
      <calculatedColumnFormula>((tbl_Apartment_Multi[[#This Row],[w-BF (with recyc)]]*(-6/159)+7)*2)/2</calculatedColumnFormula>
    </tableColumn>
    <tableColumn id="178" xr3:uid="{9F6227CD-4978-4566-A1E1-72A1CB588B0D}" name="Water Star (no recyc)" dataDxfId="1727">
      <calculatedColumnFormula>IF(tbl_Apartment_Multi[[#This Row],[Water Star Decimal (no recyc)]]&lt;1,1,MIN(ROUNDDOWN(tbl_Apartment_Multi[[#This Row],[Water Star Decimal (no recyc)]]*2,0)/2,6))</calculatedColumnFormula>
    </tableColumn>
    <tableColumn id="179" xr3:uid="{C604028D-275F-4619-A634-CC538EAA6CF7}" name="Water Star Decimal (no recyc)" dataDxfId="1726">
      <calculatedColumnFormula>((tbl_Apartment_Multi[[#This Row],[w-BF (no recyc)]]*(-6/159)+7)*2)/2</calculatedColumnFormula>
    </tableColumn>
    <tableColumn id="51" xr3:uid="{621CADA6-2023-445E-A073-7C1551DAEF08}" name="w (with recyc)" dataDxfId="1725">
      <calculatedColumnFormula>tbl_Apartment_Multi[[#This Row],[Water]]*(1-tbl_Apartment_Multi[[#This Row],[RW]])/tbl_Apartment_Multi[[#This Row],[NCAC]]</calculatedColumnFormula>
    </tableColumn>
    <tableColumn id="177" xr3:uid="{1260B9F6-ADF0-4A84-853D-8AEE984E13B3}" name="w (no recyc)" dataDxfId="1724">
      <calculatedColumnFormula>tbl_Apartment_Multi[[#This Row],[Water]]/tbl_Apartment_Multi[[#This Row],[NCAC]]</calculatedColumnFormula>
    </tableColumn>
    <tableColumn id="187" xr3:uid="{B48E4289-AEE2-4A9A-9FAD-2BD1E5BBC3C0}" name="w-BF (with recyc)" dataDxfId="1723">
      <calculatedColumnFormula>tbl_Apartment_Multi[[#This Row],[w (with recyc)]]/tbl_Apartment_Multi[[#This Row],[wr]]*100</calculatedColumnFormula>
    </tableColumn>
    <tableColumn id="180" xr3:uid="{83C8273B-8613-43C9-BDA4-6B44F200DEC1}" name="w-BF (no recyc)" dataDxfId="1722">
      <calculatedColumnFormula>tbl_Apartment_Multi[[#This Row],[w (no recyc)]]/tbl_Apartment_Multi[[#This Row],[wr]]*100</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3D7DCEB-11A0-462E-A30E-23AF280940D6}" name="tbl_Hospital_Multi" displayName="tbl_Hospital_Multi" ref="A3:GZ6" totalsRowShown="0" headerRowDxfId="743" dataDxfId="742" headerRowBorderDxfId="740" tableBorderDxfId="741">
  <autoFilter ref="A3:GZ6" xr:uid="{912DCB91-0EE1-4B70-BDB9-4E27D3EB38A8}"/>
  <tableColumns count="208">
    <tableColumn id="222" xr3:uid="{643566ED-22FC-4823-A1E9-51A3578343BC}" name="Target Energy" dataDxfId="739"/>
    <tableColumn id="223" xr3:uid="{338D598B-D814-4919-A8D0-07629A2DD972}" name="Target Water" dataDxfId="738"/>
    <tableColumn id="1" xr3:uid="{7DE743D3-2229-474E-9EFD-6D12DA6DD14B}" name="Postcode" dataDxfId="737"/>
    <tableColumn id="2" xr3:uid="{27CB1EEC-0126-4BC8-9167-1AC8CFD4DE0D}" name="Peer Group" dataDxfId="736">
      <calculatedColumnFormula>Hotel_AAA_Star_Rating</calculatedColumnFormula>
    </tableColumn>
    <tableColumn id="3" xr3:uid="{2C0E8771-E920-430E-8381-CFE38006E2FF}" name="OBD" dataDxfId="735">
      <calculatedColumnFormula>Hotel_Guest_Rooms</calculatedColumnFormula>
    </tableColumn>
    <tableColumn id="4" xr3:uid="{5A1C94EF-CA8D-468D-9D69-54786523D3FF}" name="Seps" dataDxfId="734">
      <calculatedColumnFormula>Hotel_Full_Laundry_Rooms</calculatedColumnFormula>
    </tableColumn>
    <tableColumn id="148" xr3:uid="{3C8AD44C-4557-4C9A-BF82-85F6456E794E}" name="CFACB" dataDxfId="733">
      <calculatedColumnFormula>Hotel_Function_Room_Seats</calculatedColumnFormula>
    </tableColumn>
    <tableColumn id="5" xr3:uid="{C01162D2-7B12-43E5-B21C-25D79A8AA134}" name="CFACBDays" dataDxfId="732">
      <calculatedColumnFormula>Hotel_Heated_Pool_Area</calculatedColumnFormula>
    </tableColumn>
    <tableColumn id="141" xr3:uid="{1921F670-2DD8-4A0A-85B4-81C01B4D6056}" name="Electricity (%)" dataDxfId="731"/>
    <tableColumn id="142" xr3:uid="{67DB0599-1EB4-4582-BA68-856C1275711C}" name="Gas (%)" dataDxfId="730"/>
    <tableColumn id="62" xr3:uid="{023A633F-641A-49A4-99F9-BCA4F3D2DAF8}" name="LPG (%)" dataDxfId="729"/>
    <tableColumn id="143" xr3:uid="{B5CB7A47-9CD7-450B-B9A3-54DF3BE63418}" name="Diesel (%)" dataDxfId="728"/>
    <tableColumn id="42" xr3:uid="{E42B8BF6-D454-4EEB-9DE4-4BC28452AE7E}" name="Energy Benchmark Factor" dataDxfId="727">
      <calculatedColumnFormula>tbl_Hospital_Multi[[#This Row],[Target Max Energy BF]]</calculatedColumnFormula>
    </tableColumn>
    <tableColumn id="224" xr3:uid="{8D12E2E3-928F-4E4F-989D-D8AE70A1C515}" name="Predicted Ave Emissions" dataDxfId="726">
      <calculatedColumnFormula>IF(tbl_Hospital_Multi[[#This Row],[CCentering]]="NA","NA for "&amp;tbl_Hospital_Multi[[#This Row],[State]],tbl_Hospital_Multi[[#This Row],[Predicted Emissions]])</calculatedColumnFormula>
    </tableColumn>
    <tableColumn id="225" xr3:uid="{B7376153-9ED5-4D5C-BAEB-4F31B342C4C6}" name="Max Emissions at Target" dataDxfId="725">
      <calculatedColumnFormula>IF(tbl_Hospital_Multi[[#This Row],[CCentering]]="NA","NA for "&amp;tbl_Hospital_Multi[[#This Row],[State]],tbl_Hospital_Multi[[#This Row],[Target Max CO2]])</calculatedColumnFormula>
    </tableColumn>
    <tableColumn id="6" xr3:uid="{D87D5F61-64EA-4186-979E-CE225CA4BE7B}" name="Max Emissions Intensity at Target" dataDxfId="724">
      <calculatedColumnFormula>IF(tbl_Hospital_Multi[[#This Row],[CCentering]]="NA","NA for "&amp;tbl_Hospital_Multi[[#This Row],[State]],tbl_Hospital_Multi[[#This Row],[Target Max CO2 Intensity]])</calculatedColumnFormula>
    </tableColumn>
    <tableColumn id="27" xr3:uid="{C15106F1-D8F8-4C2D-B905-412D3CE8BEE3}" name="Max Energy Intensity at Target" dataDxfId="723">
      <calculatedColumnFormula>IF(tbl_Hospital_Multi[[#This Row],[CCentering]]="NA","NA for "&amp;tbl_Hospital_Multi[[#This Row],[State]],tbl_Hospital_Multi[[#This Row],[Target Max Energy Intensity]])</calculatedColumnFormula>
    </tableColumn>
    <tableColumn id="226" xr3:uid="{ABCE0EC4-EFC9-4AB9-97DA-AC7EA73C95D8}" name="Actual Scope 1,2&amp;3 at Target" dataDxfId="722">
      <calculatedColumnFormula>IF(tbl_Hospital_Multi[[#This Row],[CCentering]]="NA","NA for "&amp;tbl_Hospital_Multi[[#This Row],[State]],tbl_Hospital_Multi[[#This Row],[Target Scopes 1,2&amp;3]])</calculatedColumnFormula>
    </tableColumn>
    <tableColumn id="227" xr3:uid="{EA83E27D-0EBE-4036-B952-25A7F247D52A}" name="Actual Scope 1&amp;2 at Target" dataDxfId="721">
      <calculatedColumnFormula>IF(tbl_Hospital_Multi[[#This Row],[CCentering]]="NA","NA for "&amp;tbl_Hospital_Multi[[#This Row],[State]],tbl_Hospital_Multi[[#This Row],[Target Scopes 1&amp;2]])</calculatedColumnFormula>
    </tableColumn>
    <tableColumn id="228" xr3:uid="{69409FAA-6DCA-4F3B-9700-1DFD82E7D7CD}" name="Max Elec (kWh) at Target" dataDxfId="720">
      <calculatedColumnFormula>IF(tbl_Hospital_Multi[[#This Row],[CCentering]]="NA","NA for "&amp;tbl_Hospital_Multi[[#This Row],[State]],tbl_Hospital_Multi[[#This Row],[Target Max Elec (kWh)]])</calculatedColumnFormula>
    </tableColumn>
    <tableColumn id="229" xr3:uid="{5293A5F0-21FF-4595-B402-9B7CAFD702E2}" name="Max Gas (MJ) at Target" dataDxfId="719">
      <calculatedColumnFormula>IF(tbl_Hospital_Multi[[#This Row],[CCentering]]="NA","NA for "&amp;tbl_Hospital_Multi[[#This Row],[State]],tbl_Hospital_Multi[[#This Row],[Target Max Gas (MJ)]])</calculatedColumnFormula>
    </tableColumn>
    <tableColumn id="230" xr3:uid="{CDEF7028-32DA-49C0-9027-3494553CD82C}" name="Max LPG (L) at Target" dataDxfId="718">
      <calculatedColumnFormula>IF(tbl_Hospital_Multi[[#This Row],[CCentering]]="NA","NA for "&amp;tbl_Hospital_Multi[[#This Row],[State]],tbl_Hospital_Multi[[#This Row],[Target Max LPG (L)]])</calculatedColumnFormula>
    </tableColumn>
    <tableColumn id="131" xr3:uid="{3F7273BA-1A2C-4FFC-861C-5749215AC423}" name="Max Diesel (L) at Target" dataDxfId="717">
      <calculatedColumnFormula>IF(tbl_Hospital_Multi[[#This Row],[CCentering]]="NA","NA for "&amp;tbl_Hospital_Multi[[#This Row],[State]],tbl_Hospital_Multi[[#This Row],[Target Max Diesel (L)]])</calculatedColumnFormula>
    </tableColumn>
    <tableColumn id="44" xr3:uid="{4A4C21C6-1DCE-4CE3-8763-167D1BD48324}" name="Water Benchmark Factor" dataDxfId="716">
      <calculatedColumnFormula>tbl_Hospital_Multi[[#This Row],[Target Max Water BF]]</calculatedColumnFormula>
    </tableColumn>
    <tableColumn id="232" xr3:uid="{56B7FF1A-E781-4F61-A6F6-E7B3F111D073}" name="Predicted Ave Water" dataDxfId="715">
      <calculatedColumnFormula>IF(tbl_Hospital_Multi[[#This Row],[CCentering]]="NA","NA for "&amp;tbl_Hospital_Multi[[#This Row],[State]],tbl_Hospital_Multi[[#This Row],[Predicted Water Consumption]])</calculatedColumnFormula>
    </tableColumn>
    <tableColumn id="233" xr3:uid="{DD7CA314-48F2-4DDE-896C-7B925AAEAF0F}" name="Max Water (kL) at Target" dataDxfId="714">
      <calculatedColumnFormula>IF(tbl_Hospital_Multi[[#This Row],[CCentering]]="NA","NA for "&amp;tbl_Hospital_Multi[[#This Row],[State]],tbl_Hospital_Multi[[#This Row],[Target Max Water (kL)]])</calculatedColumnFormula>
    </tableColumn>
    <tableColumn id="9" xr3:uid="{E3667C06-D3B4-42D5-8A4C-D617B8E05731}" name="Max Water Intensity at Target" dataDxfId="713">
      <calculatedColumnFormula>IF(tbl_Hospital_Multi[[#This Row],[CCentering]]="NA","NA for "&amp;tbl_Hospital_Multi[[#This Row],[State]],tbl_Hospital_Multi[[#This Row],[Target Max Water Inensity]])</calculatedColumnFormula>
    </tableColumn>
    <tableColumn id="12" xr3:uid="{4CA214B2-BD68-4671-A455-80E452AAC390}" name="Electricity" dataDxfId="712"/>
    <tableColumn id="13" xr3:uid="{0A83E329-1301-4483-9692-CFDE3F3F5B0D}" name="Gas" dataDxfId="711"/>
    <tableColumn id="134" xr3:uid="{38BD6513-689D-4F56-BDDC-F4B53C06FFC2}" name="LPG" dataDxfId="710"/>
    <tableColumn id="14" xr3:uid="{8AC696BC-7233-4CE8-9A53-1D490FE501A7}" name="Diesel" dataDxfId="709"/>
    <tableColumn id="15" xr3:uid="{86884A71-0FDA-4F25-BFFF-731A8C97EF30}" name="GP" dataDxfId="708"/>
    <tableColumn id="17" xr3:uid="{6F89FD61-E55B-473C-BE0F-8211C6E0C2A0}" name="water" dataDxfId="707"/>
    <tableColumn id="18" xr3:uid="{95FF39A0-DEAA-40FD-91E7-D9FB90758D39}" name="RW" dataDxfId="706"/>
    <tableColumn id="19" xr3:uid="{9C919ABC-AD17-43D0-86DA-16AB0E62AF9C}" name="State" dataDxfId="705">
      <calculatedColumnFormula>INDEX(tbl_Climate_Lookup[],MATCH(tbl_Hospital_Multi[[Postcode]:[Postcode]],tbl_Climate_Lookup[[Postcode]:[Postcode]],0),MATCH(tbl_Hospital_Multi[[#Headers],[State]],tbl_Climate_Lookup[#Headers],0))</calculatedColumnFormula>
    </tableColumn>
    <tableColumn id="20" xr3:uid="{57DB3ACB-6C71-45A0-91E9-EEE87C047151}" name="Climate zone" dataDxfId="704">
      <calculatedColumnFormula>INDEX(tbl_Climate_Lookup[],MATCH(tbl_Hospital_Multi[[Postcode]:[Postcode]],tbl_Climate_Lookup[[Postcode]:[Postcode]],0),MATCH(tbl_Hospital_Multi[[#Headers],[Climate zone]],tbl_Climate_Lookup[#Headers],0))</calculatedColumnFormula>
    </tableColumn>
    <tableColumn id="21" xr3:uid="{4A78EE8F-184D-412B-8751-59F4F3853CB4}" name="HDD" dataDxfId="703">
      <calculatedColumnFormula>INDEX(tbl_Climate_Lookup[],MATCH(tbl_Hospital_Multi[[Postcode]:[Postcode]],tbl_Climate_Lookup[[Postcode]:[Postcode]],0),MATCH(tbl_Hospital_Multi[[#Headers],[HDD]],tbl_Climate_Lookup[#Headers],0))</calculatedColumnFormula>
    </tableColumn>
    <tableColumn id="22" xr3:uid="{DC0ADCFE-BD5D-450C-BB85-694F224EC67F}" name="CDD" dataDxfId="702">
      <calculatedColumnFormula>INDEX(tbl_Climate_Lookup[],MATCH(tbl_Hospital_Multi[[Postcode]:[Postcode]],tbl_Climate_Lookup[[Postcode]:[Postcode]],0),MATCH(tbl_Hospital_Multi[[#Headers],[CDD]],tbl_Climate_Lookup[#Headers],0))</calculatedColumnFormula>
    </tableColumn>
    <tableColumn id="29" xr3:uid="{1D99A81C-7AE2-4E86-AE74-63EF6C5F0E02}" name="Total OBD" dataDxfId="701">
      <calculatedColumnFormula>IF(tbl_Hospital_Multi[[#This Row],[CFACBDays]]&gt;0,tbl_Hospital_Multi[[#This Row],[OBD]]+tbl_Hospital_Multi[[#This Row],[CFACBDays]],tbl_Hospital_Multi[[#This Row],[OBD]]+300*tbl_Hospital_Multi[[#This Row],[CFACB]])</calculatedColumnFormula>
    </tableColumn>
    <tableColumn id="40" xr3:uid="{CA8F1193-BD2D-4C40-8390-F9E39029FC62}" name="Group" dataDxfId="700">
      <calculatedColumnFormula>IF(tbl_Hospital_Multi[[#This Row],[Total OBD]]&lt;=20000,1,IF(tbl_Hospital_Multi[[#This Row],[Total OBD]]&gt;150000,3,2))</calculatedColumnFormula>
    </tableColumn>
    <tableColumn id="166" xr3:uid="{6D952647-80E0-45B3-8CB3-096A6EDF3085}" name="SGEe2022" dataDxfId="699">
      <calculatedColumnFormula>INDEX(tbl_SGE_Hospital[],MATCH(tbl_Hospital_Multi[[State]:[State]],tbl_SGE_Hospital[[State]:[State]],0),MATCH(tbl_Hospital_Multi[[#Headers],[SGEe2022]],tbl_SGE_Hospital[#Headers],0))</calculatedColumnFormula>
    </tableColumn>
    <tableColumn id="167" xr3:uid="{BC72F3AA-6C92-471F-A780-74935A4BBE0F}" name="SGEg2022" dataDxfId="698">
      <calculatedColumnFormula>INDEX(tbl_SGE_Hospital[],MATCH(tbl_Hospital_Multi[[State]:[State]],tbl_SGE_Hospital[[State]:[State]],0),MATCH(tbl_Hospital_Multi[[#Headers],[SGEg2022]],tbl_SGE_Hospital[#Headers],0))</calculatedColumnFormula>
    </tableColumn>
    <tableColumn id="180" xr3:uid="{CD072B02-C9CE-4CC9-94A8-61A85F88F83B}" name="SGEL2022" dataDxfId="697">
      <calculatedColumnFormula>INDEX(tbl_SGE_Hospital[],MATCH(tbl_Hospital_Multi[[State]:[State]],tbl_SGE_Hospital[[State]:[State]],0),MATCH(tbl_Hospital_Multi[[#Headers],[SGEL2022]],tbl_SGE_Hospital[#Headers],0))</calculatedColumnFormula>
    </tableColumn>
    <tableColumn id="170" xr3:uid="{A705D49D-CD4C-4963-9C72-97B270AA574C}" name="SGEd2022" dataDxfId="696">
      <calculatedColumnFormula>INDEX(tbl_SGE_Hospital[],MATCH(tbl_Hospital_Multi[[State]:[State]],tbl_SGE_Hospital[[State]:[State]],0),MATCH(tbl_Hospital_Multi[[#Headers],[SGEd2022]],tbl_SGE_Hospital[#Headers],0))</calculatedColumnFormula>
    </tableColumn>
    <tableColumn id="145" xr3:uid="{B89ABB9B-6589-4012-A4D9-0E35E55F0AC2}" name="CFelec" dataDxfId="695">
      <calculatedColumnFormula>INDEX(tbl_Conversion_Factors[[Conversion Factors]:[Conversion Factors]],MATCH(tbl_Hospital_Multi[[#Headers],[CFelec]],tbl_Conversion_Factors[[Reference]:[Reference]],0))</calculatedColumnFormula>
    </tableColumn>
    <tableColumn id="168" xr3:uid="{19257517-3789-4E64-846E-247F56AF50F4}" name="CFLPG" dataDxfId="694">
      <calculatedColumnFormula>INDEX(tbl_Conversion_Factors[[Conversion Factors]:[Conversion Factors]],MATCH(tbl_Hospital_Multi[[#Headers],[CFLPG]],tbl_Conversion_Factors[[Reference]:[Reference]],0))</calculatedColumnFormula>
    </tableColumn>
    <tableColumn id="146" xr3:uid="{C054B0AC-D2A9-45C4-AD3B-0A0C7B7A7033}" name="CFdiesel" dataDxfId="693">
      <calculatedColumnFormula>INDEX(tbl_Conversion_Factors[[Conversion Factors]:[Conversion Factors]],MATCH(tbl_Hospital_Multi[[#Headers],[CFdiesel]],tbl_Conversion_Factors[[Reference]:[Reference]],0))</calculatedColumnFormula>
    </tableColumn>
    <tableColumn id="151" xr3:uid="{67AC93CB-D9F2-46ED-9345-A4C75F0058C6}" name="SGEeMJ" dataDxfId="692">
      <calculatedColumnFormula>tbl_Hospital_Multi[[#This Row],[SGEe2022]]/tbl_Hospital_Multi[[#This Row],[CFelec]]</calculatedColumnFormula>
    </tableColumn>
    <tableColumn id="172" xr3:uid="{D1B6AA55-7289-41AC-A684-C365566C7A2F}" name="SGELMJ" dataDxfId="691">
      <calculatedColumnFormula>tbl_Hospital_Multi[[#This Row],[SGEL2022]]/tbl_Hospital_Multi[[#This Row],[CFLPG]]</calculatedColumnFormula>
    </tableColumn>
    <tableColumn id="152" xr3:uid="{33AFEF51-74EF-48A7-B70B-6E6EE89AE996}" name="SGEdMJ" dataDxfId="690">
      <calculatedColumnFormula>tbl_Hospital_Multi[[#This Row],[SGEd2022]]/tbl_Hospital_Multi[[#This Row],[CFdiesel]]</calculatedColumnFormula>
    </tableColumn>
    <tableColumn id="154" xr3:uid="{6877F3D3-97DC-4F50-B49B-3D36C8205151}" name="EffGHG" dataDxfId="689">
      <calculatedColumnFormula>IF(SUM(tbl_Hospital_Multi[[#This Row],[Electricity (%)]:[Diesel (%)]])=1,
SUM(tbl_Hospital_Multi[[#This Row],[Electricity (%)]]*tbl_Hospital_Multi[[#This Row],[SGEeMJ]],
tbl_Hospital_Multi[[#This Row],[Gas (%)]]*tbl_Hospital_Multi[[#This Row],[SGEg2022]],
tbl_Hospital_Multi[[#This Row],[LPG (%)]]*tbl_Hospital_Multi[[#This Row],[SGELMJ]],
tbl_Hospital_Multi[[#This Row],[Diesel (%)]]*tbl_Hospital_Multi[[#This Row],[SGEdMJ]]),0)</calculatedColumnFormula>
    </tableColumn>
    <tableColumn id="244" xr3:uid="{3582386C-99D7-49AD-9B13-05802630BB88}" name="SGEe Scopes 1,2&amp;3" dataDxfId="688">
      <calculatedColumnFormula>INDEX(tbl_NGA_Factors_2022[],MATCH(tbl_Hospital_Multi[[State]:[State]],tbl_NGA_Factors_2022[[State]:[State]],0),MATCH(tbl_Hospital_Multi[[#Headers],[SGEe Scopes 1,2&amp;3]],tbl_NGA_Factors_2022[#Headers],0))</calculatedColumnFormula>
    </tableColumn>
    <tableColumn id="245" xr3:uid="{757BE92F-9B9F-463F-88A7-DB0422ED006F}" name="SGEg Scopes 1,2&amp;3" dataDxfId="687">
      <calculatedColumnFormula>INDEX(tbl_NGA_Factors_2022[],MATCH(tbl_Hospital_Multi[[State]:[State]],tbl_NGA_Factors_2022[[State]:[State]],0),MATCH(tbl_Hospital_Multi[[#Headers],[SGEg Scopes 1,2&amp;3]],tbl_NGA_Factors_2022[#Headers],0))</calculatedColumnFormula>
    </tableColumn>
    <tableColumn id="10" xr3:uid="{E0CBE308-3510-4AB2-B0B3-AC527E4FF878}" name="SGEl Scopes 1,2&amp;3" dataDxfId="686">
      <calculatedColumnFormula>INDEX(tbl_NGA_Factors_2022[],MATCH(tbl_Hospital_Multi[[State]:[State]],tbl_NGA_Factors_2022[[State]:[State]],0),MATCH(tbl_Hospital_Multi[[#Headers],[SGEl Scopes 1,2&amp;3]],tbl_NGA_Factors_2022[#Headers],0))</calculatedColumnFormula>
    </tableColumn>
    <tableColumn id="246" xr3:uid="{8D9DD0CA-3FBE-4EC9-867C-89E824A3AE2E}" name="SGEd Scopes 1,2&amp;3" dataDxfId="685">
      <calculatedColumnFormula>INDEX(tbl_NGA_Factors_2022[],MATCH(tbl_Hospital_Multi[[State]:[State]],tbl_NGA_Factors_2022[[State]:[State]],0),MATCH(tbl_Hospital_Multi[[#Headers],[SGEd Scopes 1,2&amp;3]],tbl_NGA_Factors_2022[#Headers],0))</calculatedColumnFormula>
    </tableColumn>
    <tableColumn id="248" xr3:uid="{FE1762BF-5AC5-4AE8-A6E7-397AB99B25ED}" name="SGEe Scopes 1&amp;2" dataDxfId="684">
      <calculatedColumnFormula>INDEX(tbl_NGA_Factors_2022[],MATCH(tbl_Hospital_Multi[[State]:[State]],tbl_NGA_Factors_2022[[State]:[State]],0),MATCH(tbl_Hospital_Multi[[#Headers],[SGEe Scopes 1&amp;2]],tbl_NGA_Factors_2022[#Headers],0))</calculatedColumnFormula>
    </tableColumn>
    <tableColumn id="249" xr3:uid="{7BD7E8EA-8CAA-4593-A591-C6F279AAF92A}" name="SGEg Scopes 1&amp;2" dataDxfId="683">
      <calculatedColumnFormula>INDEX(tbl_NGA_Factors_2022[],MATCH(tbl_Hospital_Multi[[State]:[State]],tbl_NGA_Factors_2022[[State]:[State]],0),MATCH(tbl_Hospital_Multi[[#Headers],[SGEg Scopes 1&amp;2]],tbl_NGA_Factors_2022[#Headers],0))</calculatedColumnFormula>
    </tableColumn>
    <tableColumn id="11" xr3:uid="{52D3E64C-8753-441D-909E-AFD6241EB557}" name="SGEl Scopes 1&amp;2" dataDxfId="682">
      <calculatedColumnFormula>INDEX(tbl_NGA_Factors_2022[],MATCH(tbl_Hospital_Multi[[State]:[State]],tbl_NGA_Factors_2022[[State]:[State]],0),MATCH(tbl_Hospital_Multi[[#Headers],[SGEl Scopes 1&amp;2]],tbl_NGA_Factors_2022[#Headers],0))</calculatedColumnFormula>
    </tableColumn>
    <tableColumn id="250" xr3:uid="{20F3BF6F-D49D-4D2E-9221-91A76D555D4F}" name="SGEd Scopes 1&amp;2" dataDxfId="681">
      <calculatedColumnFormula>INDEX(tbl_NGA_Factors_2022[],MATCH(tbl_Hospital_Multi[[State]:[State]],tbl_NGA_Factors_2022[[State]:[State]],0),MATCH(tbl_Hospital_Multi[[#Headers],[SGEd Scopes 1&amp;2]],tbl_NGA_Factors_2022[#Headers],0))</calculatedColumnFormula>
    </tableColumn>
    <tableColumn id="178" xr3:uid="{D4BC7095-5F22-487E-BD53-5F33492EF531}" name="Predicted Emissions" dataDxfId="680">
      <calculatedColumnFormula>tbl_Hospital_Multi[[#This Row],[EmissionTL]]*tbl_Hospital_Multi[[#This Row],[Energy Cseps]]*tbl_Hospital_Multi[[#This Row],[Energy CCDD]]*tbl_Hospital_Multi[[#This Row],[Energy Cpeer]]*tbl_Hospital_Multi[[#This Row],[CState]]*tbl_Hospital_Multi[[#This Row],[CCentering]]</calculatedColumnFormula>
    </tableColumn>
    <tableColumn id="28" xr3:uid="{A2F3C1E9-4AA6-4956-9C23-31C97E49C266}" name="EmissionTL" dataDxfId="679">
      <calculatedColumnFormula>tbl_Hospital_Multi[[#This Row],[Total OBD]]*INDEX(tbl_Hospital_E_TL[a],tbl_Hospital_Multi[[#This Row],[Group]])+INDEX(tbl_Hospital_E_TL[b (intercept)],tbl_Hospital_Multi[[#This Row],[Group]])</calculatedColumnFormula>
    </tableColumn>
    <tableColumn id="34" xr3:uid="{002C3A22-CBD4-4780-80E9-4EE5B8AE74B2}" name="Energy Cseps" dataDxfId="678">
      <calculatedColumnFormula>Hospital_C_E_Seps_a*tbl_Hospital_Multi[[#This Row],[Seps]]/tbl_Hospital_Multi[[#This Row],[Total OBD]]+Hospital_C_E_Seps_b</calculatedColumnFormula>
    </tableColumn>
    <tableColumn id="35" xr3:uid="{67BC1318-3C2C-407F-93EC-577E63BFF9EA}" name="Energy CCDD" dataDxfId="677">
      <calculatedColumnFormula>Hospital_C_E_CDD_a*tbl_Hospital_Multi[[#This Row],[CDD]]+Hospital_C_E_CDD_b</calculatedColumnFormula>
    </tableColumn>
    <tableColumn id="133" xr3:uid="{7BAA9F17-318A-46CA-B941-57AE8F6D07D8}" name="Energy Cpeer" dataDxfId="676">
      <calculatedColumnFormula>IF(ISNA(MATCH(tbl_Hospital_Multi[[#This Row],[Peer Group]],tbl_Hospital_CPeer_Energy_Corrections[Minor Hospital Correction Energy],0)),1,INDEX(tbl_Hospital_CPeer_Energy_Corrections[Correction],MATCH(tbl_Hospital_Multi[[#This Row],[Peer Group]],tbl_Hospital_CPeer_Energy_Corrections[Minor Hospital Correction Energy],0)))</calculatedColumnFormula>
    </tableColumn>
    <tableColumn id="205" xr3:uid="{565094ED-6012-47A3-9060-11D545E594F4}" name="CNational_2016" dataDxfId="675">
      <calculatedColumnFormula>INDEX(tbl_Hospital_CNational_Lists[],MATCH(tbl_Hospital_Multi[[State]:[State]],tbl_Hospital_CNational_Lists[[State]:[State]],0),MATCH(tbl_Hospital_Multi[[#Headers],[CNational_2016]],tbl_Hospital_CNational_Lists[#Headers],0))</calculatedColumnFormula>
    </tableColumn>
    <tableColumn id="41" xr3:uid="{C33A38F7-720C-4337-AE2A-1B43C947845E}" name="CState" dataDxfId="674">
      <calculatedColumnFormula>INDEX(tbl_Hospital_CNational_Lists[],MATCH(tbl_Hospital_Multi[[State]:[State]],tbl_Hospital_CNational_Lists[[State]:[State]],0),MATCH(tbl_Hospital_Multi[[#Headers],[CState]],tbl_Hospital_CNational_Lists[#Headers],0))</calculatedColumnFormula>
    </tableColumn>
    <tableColumn id="43" xr3:uid="{8BFFCF7A-45AB-4ADA-861A-166BB0C38897}" name="CCentering" dataDxfId="673">
      <calculatedColumnFormula>INDEX(tbl_Hospital_CNational_Lists[],MATCH(tbl_Hospital_Multi[[State]:[State]],tbl_Hospital_CNational_Lists[[State]:[State]],0),MATCH(tbl_Hospital_Multi[[#Headers],[CCentering]],tbl_Hospital_CNational_Lists[#Headers],0))</calculatedColumnFormula>
    </tableColumn>
    <tableColumn id="63" xr3:uid="{70E13913-68D5-43C7-8D21-8AE9D93EB270}" name="Predicted Water Consumption" dataDxfId="672">
      <calculatedColumnFormula>tbl_Hospital_Multi[[#This Row],[Water ConsumptionTL]]*tbl_Hospital_Multi[[#This Row],[Water Cseps]]*tbl_Hospital_Multi[[#This Row],[Water CCDD]]*tbl_Hospital_Multi[[#This Row],[Water Cpeer]]</calculatedColumnFormula>
    </tableColumn>
    <tableColumn id="54" xr3:uid="{B2959098-DC30-4AD9-AE65-3A33599E6A6E}" name="Water ConsumptionTL" dataDxfId="671">
      <calculatedColumnFormula>tbl_Hospital_Multi[[#This Row],[Total OBD]]*INDEX(tbl_Hospital_W_TL[a],tbl_Hospital_Multi[[#This Row],[Group]])+INDEX(tbl_Hospital_W_TL[b (intercept)],tbl_Hospital_Multi[[#This Row],[Group]])</calculatedColumnFormula>
    </tableColumn>
    <tableColumn id="55" xr3:uid="{45F50C2D-D7FD-4DA2-AECA-CF2BD3ABFC58}" name="Water Cseps" dataDxfId="670">
      <calculatedColumnFormula>Hospital_C_W_Seps_a*tbl_Hospital_Multi[[#This Row],[Seps]]/tbl_Hospital_Multi[[#This Row],[Total OBD]]+Hospital_C_W_Seps_b</calculatedColumnFormula>
    </tableColumn>
    <tableColumn id="56" xr3:uid="{01B5EBC7-6B78-4A32-B3AC-42E842054A8D}" name="Water CCDD" dataDxfId="669">
      <calculatedColumnFormula>Hospital_C_W_CDD_a*tbl_Hospital_Multi[[#This Row],[CDD]]+Hospital_C_W_CDD_b</calculatedColumnFormula>
    </tableColumn>
    <tableColumn id="57" xr3:uid="{5FCBC964-6017-42DD-AE6D-8905896049B9}" name="Water Cpeer" dataDxfId="668">
      <calculatedColumnFormula>IF(ISNA(MATCH(tbl_Hospital_Multi[[#This Row],[Peer Group]],tbl_Hospital_CPeer_Water_Corrections[Minor Hospital Correction Water],0)),1,INDEX(tbl_Hospital_CPeer_Water_Corrections[Correction],MATCH(tbl_Hospital_Multi[[#This Row],[Peer Group]],tbl_Hospital_CPeer_Water_Corrections[Minor Hospital Correction Water],0)))</calculatedColumnFormula>
    </tableColumn>
    <tableColumn id="169" xr3:uid="{43280702-B1B7-425B-9C06-8BC5B61EFA03}" name="Target Max Energy BF" dataDxfId="667">
      <calculatedColumnFormula>(tbl_Hospital_Multi[[#This Row],[Target Energy]]-7)/(-6/159)</calculatedColumnFormula>
    </tableColumn>
    <tableColumn id="238" xr3:uid="{6FEE9E12-70A1-4A0E-A6F3-34DCCBCDBE45}" name="Target Max CO2" dataDxfId="666">
      <calculatedColumnFormula>tbl_Hospital_Multi[[#This Row],[Predicted Emissions]]/100*(tbl_Hospital_Multi[[#This Row],[Target Max Energy BF]])</calculatedColumnFormula>
    </tableColumn>
    <tableColumn id="26" xr3:uid="{907FBDFA-D3D7-4041-9E95-10E704DDCA23}" name="Target Max CO2 Intensity" dataDxfId="665">
      <calculatedColumnFormula>tbl_Hospital_Multi[[#This Row],[Target Max CO2]]/tbl_Hospital_Multi[[#This Row],[Total OBD]]</calculatedColumnFormula>
    </tableColumn>
    <tableColumn id="239" xr3:uid="{3927B713-66D4-42FE-9C19-F39EEA8683F0}" name="Target Max Energy (MJ)" dataDxfId="664">
      <calculatedColumnFormula>tbl_Hospital_Multi[[#This Row],[Target Max CO2]]/tbl_Hospital_Multi[[#This Row],[EffGHG]]</calculatedColumnFormula>
    </tableColumn>
    <tableColumn id="39" xr3:uid="{8146441D-2B27-4116-9451-5AC85A81921C}" name="Target Max Energy Intensity" dataDxfId="663">
      <calculatedColumnFormula>tbl_Hospital_Multi[[#This Row],[Target Max Energy (MJ)]]/tbl_Hospital_Multi[[#This Row],[Total OBD]]</calculatedColumnFormula>
    </tableColumn>
    <tableColumn id="240" xr3:uid="{8A9E9850-AE35-4382-B5A4-B2C79A9BFE8F}" name="Target Max Elec (kWh)" dataDxfId="662">
      <calculatedColumnFormula>ROUNDDOWN(tbl_Hospital_Multi[[#This Row],[Target Max Energy (MJ)]]*tbl_Hospital_Multi[[#This Row],[Electricity (%)]]/tbl_Hospital_Multi[[#This Row],[CFelec]],0)</calculatedColumnFormula>
    </tableColumn>
    <tableColumn id="241" xr3:uid="{1C542E2A-51AD-4C63-9ED2-24DFD26F5413}" name="Target Max Gas (MJ)" dataDxfId="661">
      <calculatedColumnFormula>ROUNDDOWN(tbl_Hospital_Multi[[#This Row],[Target Max Energy (MJ)]]*tbl_Hospital_Multi[[#This Row],[Gas (%)]],0)</calculatedColumnFormula>
    </tableColumn>
    <tableColumn id="16" xr3:uid="{D8E51C72-1512-4EF7-B8D5-AC252C426B10}" name="Target Max LPG (L)" dataDxfId="660">
      <calculatedColumnFormula>ROUNDDOWN(tbl_Hospital_Multi[[#This Row],[Target Max Energy (MJ)]]*tbl_Hospital_Multi[[#This Row],[LPG (%)]]/tbl_Hospital_Multi[[#This Row],[CFLPG]],0)</calculatedColumnFormula>
    </tableColumn>
    <tableColumn id="242" xr3:uid="{E7CD8A3D-07AF-4FAE-B878-6C8512C97B99}" name="Target Max Diesel (L)" dataDxfId="659">
      <calculatedColumnFormula>ROUNDDOWN(tbl_Hospital_Multi[[#This Row],[Target Max Energy (MJ)]]*tbl_Hospital_Multi[[#This Row],[Diesel (%)]]/tbl_Hospital_Multi[[#This Row],[CFdiesel]],0)</calculatedColumnFormula>
    </tableColumn>
    <tableColumn id="252" xr3:uid="{1C54B5A9-B67E-440A-87CA-B4E641EAE982}" name="Target Scopes 1,2&amp;3" dataDxfId="658">
      <calculatedColumnFormula>SUM(tbl_Hospital_Multi[[#This Row],[Target Max Elec (kWh)]]*tbl_Hospital_Multi[[#This Row],[SGEe Scopes 1,2&amp;3]],
tbl_Hospital_Multi[[#This Row],[Target Max Gas (MJ)]]*tbl_Hospital_Multi[[#This Row],[SGEg Scopes 1,2&amp;3]],
tbl_Hospital_Multi[[#This Row],[Target Max Diesel (L)]]*tbl_Hospital_Multi[[#This Row],[SGEd Scopes 1,2&amp;3]],
tbl_Hospital_Multi[[#This Row],[Target Max LPG (L)]]*tbl_Hospital_Multi[[#This Row],[SGEl Scopes 1,2&amp;3]])</calculatedColumnFormula>
    </tableColumn>
    <tableColumn id="253" xr3:uid="{09DAFC8D-1BC0-45C5-8B17-880A141E1E6B}" name="Target Scopes 1&amp;2" dataDxfId="657">
      <calculatedColumnFormula>SUM(tbl_Hospital_Multi[[#This Row],[Target Max Elec (kWh)]]*tbl_Hospital_Multi[[#This Row],[SGEe Scopes 1&amp;2]],
tbl_Hospital_Multi[[#This Row],[Target Max Gas (MJ)]]*tbl_Hospital_Multi[[#This Row],[SGEg Scopes 1&amp;2]],
tbl_Hospital_Multi[[#This Row],[Target Max Diesel (L)]]*tbl_Hospital_Multi[[#This Row],[SGEd Scopes 1&amp;2]],
tbl_Hospital_Multi[[#This Row],[Target Max LPG (L)]]*tbl_Hospital_Multi[[#This Row],[SGEl Scopes 1&amp;2]])</calculatedColumnFormula>
    </tableColumn>
    <tableColumn id="179" xr3:uid="{79B761BB-1DC7-4075-A040-1F07E987FEF8}" name="Target Max Water BF" dataDxfId="656">
      <calculatedColumnFormula>(tbl_Hospital_Multi[[#This Row],[Target Water]]-7)/(-6/159)</calculatedColumnFormula>
    </tableColumn>
    <tableColumn id="255" xr3:uid="{239BAF4B-E057-4524-BEE5-444C02DD2DB4}" name="Target Max Water (kL)" dataDxfId="655">
      <calculatedColumnFormula>ROUNDDOWN(tbl_Hospital_Multi[[#This Row],[Target Max Water BF]]/100*tbl_Hospital_Multi[[Predicted Water Consumption]:[Predicted Water Consumption]],0)</calculatedColumnFormula>
    </tableColumn>
    <tableColumn id="25" xr3:uid="{2855AD6B-52DE-43C4-A805-0401213F9C35}" name="Target Max Water Inensity" dataDxfId="654">
      <calculatedColumnFormula>tbl_Hospital_Multi[[#This Row],[Target Max Water (kL)]]/tbl_Hospital_Multi[[#This Row],[Total OBD]]</calculatedColumnFormula>
    </tableColumn>
    <tableColumn id="64" xr3:uid="{B0B0A4B4-B9ED-4E4E-9FA1-6B1176CB7886}" name="6.0* Max BF Energy" dataDxfId="653">
      <calculatedColumnFormula>(LEFT(tbl_Hospital_Multi[[#Headers],[6.0* Max BF Energy]],3)-7)/-3.5*100</calculatedColumnFormula>
    </tableColumn>
    <tableColumn id="65" xr3:uid="{DB25ED03-AA31-430C-A8D5-FD140ED972B7}" name="5.5* Max BF Energy" dataDxfId="652">
      <calculatedColumnFormula>(LEFT(tbl_Hospital_Multi[[#Headers],[5.5* Max BF Energy]],3)-7)/-3.5*100</calculatedColumnFormula>
    </tableColumn>
    <tableColumn id="66" xr3:uid="{84B9130A-7480-49D1-92DD-C8F2012B5CBF}" name="5.0* Max BF Energy" dataDxfId="651">
      <calculatedColumnFormula>(LEFT(tbl_Hospital_Multi[[#Headers],[5.0* Max BF Energy]],3)-7)/-3.5*100</calculatedColumnFormula>
    </tableColumn>
    <tableColumn id="67" xr3:uid="{463086EF-5BD0-4C39-B32C-5CD40814884F}" name="4.5* Max BF Energy" dataDxfId="650">
      <calculatedColumnFormula>(LEFT(tbl_Hospital_Multi[[#Headers],[4.5* Max BF Energy]],3)-7)/-3.5*100</calculatedColumnFormula>
    </tableColumn>
    <tableColumn id="68" xr3:uid="{AD03AB7B-14EB-4C2F-AD28-5853594321D1}" name="4.0* Max BF Energy" dataDxfId="649">
      <calculatedColumnFormula>(LEFT(tbl_Hospital_Multi[[#Headers],[4.0* Max BF Energy]],3)-7)/-3.5*100</calculatedColumnFormula>
    </tableColumn>
    <tableColumn id="69" xr3:uid="{F04A24AE-680F-4BEF-B205-0EAA8C875EAC}" name="3.5* Max BF Energy" dataDxfId="648">
      <calculatedColumnFormula>(LEFT(tbl_Hospital_Multi[[#Headers],[3.5* Max BF Energy]],3)-7)/-3.5*100</calculatedColumnFormula>
    </tableColumn>
    <tableColumn id="70" xr3:uid="{4D163594-B5DE-43F1-BEEF-A2C9B9278CFC}" name="3.0* Max BF Energy" dataDxfId="647">
      <calculatedColumnFormula>(LEFT(tbl_Hospital_Multi[[#Headers],[3.0* Max BF Energy]],3)-7)/-3.5*100</calculatedColumnFormula>
    </tableColumn>
    <tableColumn id="71" xr3:uid="{A933AD9A-43A7-4C32-B08A-2080125E9D8A}" name="2.5* Max BF Energy" dataDxfId="646">
      <calculatedColumnFormula>(LEFT(tbl_Hospital_Multi[[#Headers],[2.5* Max BF Energy]],3)-7)/-3.5*100</calculatedColumnFormula>
    </tableColumn>
    <tableColumn id="72" xr3:uid="{03D4FD74-C9AB-47E6-AA6C-3848D4F18A0B}" name="2.0* Max BF Energy" dataDxfId="645">
      <calculatedColumnFormula>(LEFT(tbl_Hospital_Multi[[#Headers],[2.0* Max BF Energy]],3)-7)/-3.5*100</calculatedColumnFormula>
    </tableColumn>
    <tableColumn id="73" xr3:uid="{DF14140B-DA5F-48D8-852E-756736C5E133}" name="1.5* Max BF Energy" dataDxfId="644">
      <calculatedColumnFormula>(LEFT(tbl_Hospital_Multi[[#Headers],[1.5* Max BF Energy]],3)-7)/-3.5*100</calculatedColumnFormula>
    </tableColumn>
    <tableColumn id="74" xr3:uid="{3C111E9E-41F2-4C33-9F04-5D56BE41C3D6}" name="1.0* Max BF Energy" dataDxfId="643">
      <calculatedColumnFormula>(LEFT(tbl_Hospital_Multi[[#Headers],[1.0* Max BF Energy]],3)-7)/-3.5*100</calculatedColumnFormula>
    </tableColumn>
    <tableColumn id="38" xr3:uid="{B7CC62D6-7E8C-409E-9482-CE15F33F65C5}" name="0.0* Max BF Energy" dataDxfId="642">
      <calculatedColumnFormula>(LEFT(tbl_Hospital_Multi[[#Headers],[0.0* Max BF Energy]],3)-7)/-3.5*100</calculatedColumnFormula>
    </tableColumn>
    <tableColumn id="75" xr3:uid="{FFC75A85-8E4C-4BBD-AEFD-423CFB64F6F2}" name="6.0* Max e" dataDxfId="641">
      <calculatedColumnFormula>tbl_Hospital_Multi[[Predicted Emissions]:[Predicted Emissions]]*(tbl_Hospital_Multi[[#This Row],[6.0* Max BF Energy]])/100</calculatedColumnFormula>
    </tableColumn>
    <tableColumn id="76" xr3:uid="{D16F9867-FE5D-449B-BE41-BBC388FC412E}" name="5.5* Max e" dataDxfId="640">
      <calculatedColumnFormula>tbl_Hospital_Multi[[Predicted Emissions]:[Predicted Emissions]]*(tbl_Hospital_Multi[[#This Row],[5.5* Max BF Energy]])/100</calculatedColumnFormula>
    </tableColumn>
    <tableColumn id="77" xr3:uid="{DE2FF34E-D0F1-4A59-B0B3-5382FB7ABD8C}" name="5.0* Max e" dataDxfId="639">
      <calculatedColumnFormula>tbl_Hospital_Multi[[Predicted Emissions]:[Predicted Emissions]]*(tbl_Hospital_Multi[[#This Row],[5.0* Max BF Energy]])/100</calculatedColumnFormula>
    </tableColumn>
    <tableColumn id="78" xr3:uid="{E1DFAD9F-A577-4D4E-A9B6-9B1FCCFB7AAD}" name="4.5* Max e" dataDxfId="638">
      <calculatedColumnFormula>tbl_Hospital_Multi[[Predicted Emissions]:[Predicted Emissions]]*(tbl_Hospital_Multi[[#This Row],[4.5* Max BF Energy]])/100</calculatedColumnFormula>
    </tableColumn>
    <tableColumn id="79" xr3:uid="{6E6BD93A-92E7-4347-8DF2-537E71A8A688}" name="4.0* Max e" dataDxfId="637">
      <calculatedColumnFormula>tbl_Hospital_Multi[[Predicted Emissions]:[Predicted Emissions]]*(tbl_Hospital_Multi[[#This Row],[4.0* Max BF Energy]])/100</calculatedColumnFormula>
    </tableColumn>
    <tableColumn id="80" xr3:uid="{74178366-362C-489F-9404-5BA8CF840A16}" name="3.5* Max e" dataDxfId="636">
      <calculatedColumnFormula>tbl_Hospital_Multi[[Predicted Emissions]:[Predicted Emissions]]*(tbl_Hospital_Multi[[#This Row],[3.5* Max BF Energy]])/100</calculatedColumnFormula>
    </tableColumn>
    <tableColumn id="81" xr3:uid="{57003577-D064-49E6-A150-BB58265D0089}" name="3.0* Max e" dataDxfId="635">
      <calculatedColumnFormula>tbl_Hospital_Multi[[Predicted Emissions]:[Predicted Emissions]]*(tbl_Hospital_Multi[[#This Row],[3.0* Max BF Energy]])/100</calculatedColumnFormula>
    </tableColumn>
    <tableColumn id="82" xr3:uid="{B1C852D9-A490-411C-AF31-1A41B8195678}" name="2.5* Max e" dataDxfId="634">
      <calculatedColumnFormula>tbl_Hospital_Multi[[Predicted Emissions]:[Predicted Emissions]]*(tbl_Hospital_Multi[[#This Row],[2.5* Max BF Energy]])/100</calculatedColumnFormula>
    </tableColumn>
    <tableColumn id="83" xr3:uid="{4E9F7352-EB8C-4BC5-99AF-C7E6ED5027B4}" name="2.0* Max e" dataDxfId="633">
      <calculatedColumnFormula>tbl_Hospital_Multi[[Predicted Emissions]:[Predicted Emissions]]*(tbl_Hospital_Multi[[#This Row],[2.0* Max BF Energy]])/100</calculatedColumnFormula>
    </tableColumn>
    <tableColumn id="84" xr3:uid="{E008671E-F119-424F-A6BB-FEDD723C19CF}" name="1.5* Max e" dataDxfId="632">
      <calculatedColumnFormula>tbl_Hospital_Multi[[Predicted Emissions]:[Predicted Emissions]]*(tbl_Hospital_Multi[[#This Row],[1.5* Max BF Energy]])/100</calculatedColumnFormula>
    </tableColumn>
    <tableColumn id="85" xr3:uid="{0D71B1DD-8E9A-47AD-B907-A4D7A0C4837D}" name="1.0* Max e" dataDxfId="631">
      <calculatedColumnFormula>tbl_Hospital_Multi[[Predicted Emissions]:[Predicted Emissions]]*(tbl_Hospital_Multi[[#This Row],[1.0* Max BF Energy]])/100</calculatedColumnFormula>
    </tableColumn>
    <tableColumn id="37" xr3:uid="{ABBDEB2D-F0EE-433F-9F85-5F3ED9AEF9F7}" name="0.0* Max e" dataDxfId="630">
      <calculatedColumnFormula>tbl_Hospital_Multi[[Predicted Emissions]:[Predicted Emissions]]*(tbl_Hospital_Multi[[#This Row],[0.0* Max BF Energy]])/100</calculatedColumnFormula>
    </tableColumn>
    <tableColumn id="155" xr3:uid="{B0C12A02-20F8-406D-9D04-CDFB29466375}" name="6.0* Max Energy (MJ)" dataDxfId="629">
      <calculatedColumnFormula>tbl_Hospital_Multi[[#This Row],[6.0* Max e]]/tbl_Hospital_Multi[[EffGHG]:[EffGHG]]</calculatedColumnFormula>
    </tableColumn>
    <tableColumn id="156" xr3:uid="{C198DC0A-1A72-4C32-B13F-9A6B1707A08A}" name="5.5* Max Energy (MJ)" dataDxfId="628">
      <calculatedColumnFormula>tbl_Hospital_Multi[[#This Row],[5.5* Max e]]/tbl_Hospital_Multi[[EffGHG]:[EffGHG]]</calculatedColumnFormula>
    </tableColumn>
    <tableColumn id="157" xr3:uid="{B6AECE2B-93FC-439A-A8DD-908F37078350}" name="5.0* Max Energy (MJ)" dataDxfId="627">
      <calculatedColumnFormula>tbl_Hospital_Multi[[#This Row],[5.0* Max e]]/tbl_Hospital_Multi[[EffGHG]:[EffGHG]]</calculatedColumnFormula>
    </tableColumn>
    <tableColumn id="158" xr3:uid="{C9A10967-3E03-4D88-B067-E81A1064328A}" name="4.5* Max Energy (MJ)" dataDxfId="626">
      <calculatedColumnFormula>tbl_Hospital_Multi[[#This Row],[4.5* Max e]]/tbl_Hospital_Multi[[EffGHG]:[EffGHG]]</calculatedColumnFormula>
    </tableColumn>
    <tableColumn id="159" xr3:uid="{773E1C09-4D98-4FB1-A8C7-DD16AF61E2CE}" name="4.0* Max Energy (MJ)" dataDxfId="625">
      <calculatedColumnFormula>tbl_Hospital_Multi[[#This Row],[4.0* Max e]]/tbl_Hospital_Multi[[EffGHG]:[EffGHG]]</calculatedColumnFormula>
    </tableColumn>
    <tableColumn id="160" xr3:uid="{40DE6FD8-E4DB-4131-A34F-3105EECB7CAC}" name="3.5* Max Energy (MJ)" dataDxfId="624">
      <calculatedColumnFormula>tbl_Hospital_Multi[[#This Row],[3.5* Max e]]/tbl_Hospital_Multi[[EffGHG]:[EffGHG]]</calculatedColumnFormula>
    </tableColumn>
    <tableColumn id="161" xr3:uid="{7BFB0771-E977-40ED-B4FD-3B57FFF9A347}" name="3.0* Max Energy (MJ)" dataDxfId="623">
      <calculatedColumnFormula>tbl_Hospital_Multi[[#This Row],[3.0* Max e]]/tbl_Hospital_Multi[[EffGHG]:[EffGHG]]</calculatedColumnFormula>
    </tableColumn>
    <tableColumn id="162" xr3:uid="{0F17A36C-80C8-41EF-A450-A2985216D242}" name="2.5* Max Energy (MJ)" dataDxfId="622">
      <calculatedColumnFormula>tbl_Hospital_Multi[[#This Row],[2.5* Max e]]/tbl_Hospital_Multi[[EffGHG]:[EffGHG]]</calculatedColumnFormula>
    </tableColumn>
    <tableColumn id="163" xr3:uid="{C6D13CBF-33AD-4038-AE7F-B8D292751676}" name="2.0* Max Energy (MJ)" dataDxfId="621">
      <calculatedColumnFormula>tbl_Hospital_Multi[[#This Row],[2.0* Max e]]/tbl_Hospital_Multi[[EffGHG]:[EffGHG]]</calculatedColumnFormula>
    </tableColumn>
    <tableColumn id="164" xr3:uid="{A3BF05E8-384B-4A3D-AA34-C5174CC63217}" name="1.5* Max Energy (MJ)" dataDxfId="620">
      <calculatedColumnFormula>tbl_Hospital_Multi[[#This Row],[1.5* Max e]]/tbl_Hospital_Multi[[EffGHG]:[EffGHG]]</calculatedColumnFormula>
    </tableColumn>
    <tableColumn id="165" xr3:uid="{CBC0A88D-9BC7-4298-A683-9D0C36F4CBB7}" name="1.0* Max Energy (MJ)" dataDxfId="619">
      <calculatedColumnFormula>tbl_Hospital_Multi[[#This Row],[1.0* Max e]]/tbl_Hospital_Multi[[EffGHG]:[EffGHG]]</calculatedColumnFormula>
    </tableColumn>
    <tableColumn id="36" xr3:uid="{793D627D-2AA0-4D34-B93A-03C5C7432E3C}" name="0.0* Max Energy (MJ)" dataDxfId="618">
      <calculatedColumnFormula>tbl_Hospital_Multi[[#This Row],[0.0* Max e]]/tbl_Hospital_Multi[[EffGHG]:[EffGHG]]</calculatedColumnFormula>
    </tableColumn>
    <tableColumn id="97" xr3:uid="{13528FFF-7314-4A07-8261-3CAF203D7770}" name="6.0* Max Elec (kWh)" dataDxfId="617">
      <calculatedColumnFormula>ROUNDDOWN(tbl_Hospital_Multi[[#This Row],[6.0* Max Energy (MJ)]]*tbl_Hospital_Multi[[Electricity (%)]:[Electricity (%)]]/tbl_Hospital_Multi[[CFelec]:[CFelec]],0)</calculatedColumnFormula>
    </tableColumn>
    <tableColumn id="98" xr3:uid="{B485475C-8414-437F-A1D2-E1D5C7AA9E2D}" name="5.5* Max Elec (kWh)" dataDxfId="616">
      <calculatedColumnFormula>ROUNDDOWN(tbl_Hospital_Multi[[#This Row],[5.5* Max Energy (MJ)]]*tbl_Hospital_Multi[[Electricity (%)]:[Electricity (%)]]/tbl_Hospital_Multi[[CFelec]:[CFelec]],0)</calculatedColumnFormula>
    </tableColumn>
    <tableColumn id="99" xr3:uid="{BF9E3CA8-54EF-43B1-BC7C-10A5432E7595}" name="5.0* Max Elec (kWh)" dataDxfId="615">
      <calculatedColumnFormula>ROUNDDOWN(tbl_Hospital_Multi[[#This Row],[5.0* Max Energy (MJ)]]*tbl_Hospital_Multi[[Electricity (%)]:[Electricity (%)]]/tbl_Hospital_Multi[[CFelec]:[CFelec]],0)</calculatedColumnFormula>
    </tableColumn>
    <tableColumn id="100" xr3:uid="{F71D003C-F6E2-4A01-9F8A-E97922ACCBCA}" name="4.5* Max Elec (kWh)" dataDxfId="614">
      <calculatedColumnFormula>ROUNDDOWN(tbl_Hospital_Multi[[#This Row],[4.5* Max Energy (MJ)]]*tbl_Hospital_Multi[[Electricity (%)]:[Electricity (%)]]/tbl_Hospital_Multi[[CFelec]:[CFelec]],0)</calculatedColumnFormula>
    </tableColumn>
    <tableColumn id="101" xr3:uid="{C0E46D24-64B8-4044-94BF-6CCF4AEC5436}" name="4.0* Max Elec (kWh)" dataDxfId="613">
      <calculatedColumnFormula>ROUNDDOWN(tbl_Hospital_Multi[[#This Row],[4.0* Max Energy (MJ)]]*tbl_Hospital_Multi[[Electricity (%)]:[Electricity (%)]]/tbl_Hospital_Multi[[CFelec]:[CFelec]],0)</calculatedColumnFormula>
    </tableColumn>
    <tableColumn id="102" xr3:uid="{3CC80D35-0A8D-4ACA-A132-C28EF5970C3F}" name="3.5* Max Elec (kWh)" dataDxfId="612">
      <calculatedColumnFormula>ROUNDDOWN(tbl_Hospital_Multi[[#This Row],[3.5* Max Energy (MJ)]]*tbl_Hospital_Multi[[Electricity (%)]:[Electricity (%)]]/tbl_Hospital_Multi[[CFelec]:[CFelec]],0)</calculatedColumnFormula>
    </tableColumn>
    <tableColumn id="103" xr3:uid="{2D2C762F-635C-4A13-848B-B7ADA1707D24}" name="3.0* Max Elec (kWh)" dataDxfId="611">
      <calculatedColumnFormula>ROUNDDOWN(tbl_Hospital_Multi[[#This Row],[3.0* Max Energy (MJ)]]*tbl_Hospital_Multi[[Electricity (%)]:[Electricity (%)]]/tbl_Hospital_Multi[[CFelec]:[CFelec]],0)</calculatedColumnFormula>
    </tableColumn>
    <tableColumn id="104" xr3:uid="{017E2A7D-C3E1-4140-857B-CB89A8DECEC6}" name="2.5* Max Elec (kWh)" dataDxfId="610">
      <calculatedColumnFormula>ROUNDDOWN(tbl_Hospital_Multi[[#This Row],[2.5* Max Energy (MJ)]]*tbl_Hospital_Multi[[Electricity (%)]:[Electricity (%)]]/tbl_Hospital_Multi[[CFelec]:[CFelec]],0)</calculatedColumnFormula>
    </tableColumn>
    <tableColumn id="105" xr3:uid="{6C48C5F7-83E2-4599-95F9-D908BEA16003}" name="2.0* Max Elec (kWh)" dataDxfId="609">
      <calculatedColumnFormula>ROUNDDOWN(tbl_Hospital_Multi[[#This Row],[2.0* Max Energy (MJ)]]*tbl_Hospital_Multi[[Electricity (%)]:[Electricity (%)]]/tbl_Hospital_Multi[[CFelec]:[CFelec]],0)</calculatedColumnFormula>
    </tableColumn>
    <tableColumn id="106" xr3:uid="{7E7FE1D2-7D8A-4300-ACFE-C460B2A2F744}" name="1.5* Max Elec (kWh)" dataDxfId="608">
      <calculatedColumnFormula>ROUNDDOWN(tbl_Hospital_Multi[[#This Row],[1.5* Max Energy (MJ)]]*tbl_Hospital_Multi[[Electricity (%)]:[Electricity (%)]]/tbl_Hospital_Multi[[CFelec]:[CFelec]],0)</calculatedColumnFormula>
    </tableColumn>
    <tableColumn id="107" xr3:uid="{B8580F8F-33AF-4777-BD7A-9C417D4BA0E3}" name="1.0* Max Elec (kWh)" dataDxfId="607">
      <calculatedColumnFormula>ROUNDDOWN(tbl_Hospital_Multi[[#This Row],[1.0* Max Energy (MJ)]]*tbl_Hospital_Multi[[Electricity (%)]:[Electricity (%)]]/tbl_Hospital_Multi[[CFelec]:[CFelec]],0)</calculatedColumnFormula>
    </tableColumn>
    <tableColumn id="33" xr3:uid="{8C6ABE14-DBBE-4025-B3B7-91E01B3588AB}" name="0.0* Max Elec (kWh)" dataDxfId="606">
      <calculatedColumnFormula>ROUNDDOWN(tbl_Hospital_Multi[[#This Row],[0.0* Max Energy (MJ)]]*tbl_Hospital_Multi[[Electricity (%)]:[Electricity (%)]]/tbl_Hospital_Multi[[CFelec]:[CFelec]],0)</calculatedColumnFormula>
    </tableColumn>
    <tableColumn id="108" xr3:uid="{610292C3-87E2-49F7-9522-84BAE0D0D9E4}" name="6.0* Max Gas (MJ)" dataDxfId="605">
      <calculatedColumnFormula>ROUNDDOWN(tbl_Hospital_Multi[[#This Row],[6.0* Max Energy (MJ)]]*tbl_Hospital_Multi[[Gas (%)]:[Gas (%)]],0)</calculatedColumnFormula>
    </tableColumn>
    <tableColumn id="109" xr3:uid="{81D5C206-6928-4FBC-AA8F-E7183F5B5387}" name="5.5* Max Gas (MJ)" dataDxfId="604">
      <calculatedColumnFormula>ROUNDDOWN(tbl_Hospital_Multi[[#This Row],[5.5* Max Energy (MJ)]]*tbl_Hospital_Multi[[Gas (%)]:[Gas (%)]],0)</calculatedColumnFormula>
    </tableColumn>
    <tableColumn id="110" xr3:uid="{DB0135A7-EEE6-495F-AB09-5CB6ED88EC22}" name="5.0* Max Gas (MJ)" dataDxfId="603">
      <calculatedColumnFormula>ROUNDDOWN(tbl_Hospital_Multi[[#This Row],[5.0* Max Energy (MJ)]]*tbl_Hospital_Multi[[Gas (%)]:[Gas (%)]],0)</calculatedColumnFormula>
    </tableColumn>
    <tableColumn id="111" xr3:uid="{4DC26338-940D-47D6-9DA3-A8F566C2D794}" name="4.5* Max Gas (MJ)" dataDxfId="602">
      <calculatedColumnFormula>ROUNDDOWN(tbl_Hospital_Multi[[#This Row],[4.5* Max Energy (MJ)]]*tbl_Hospital_Multi[[Gas (%)]:[Gas (%)]],0)</calculatedColumnFormula>
    </tableColumn>
    <tableColumn id="112" xr3:uid="{2C4E2EF2-D8CA-4FAD-BD0D-A9550D57DB25}" name="4.0* Max Gas (MJ)" dataDxfId="601">
      <calculatedColumnFormula>ROUNDDOWN(tbl_Hospital_Multi[[#This Row],[4.0* Max Energy (MJ)]]*tbl_Hospital_Multi[[Gas (%)]:[Gas (%)]],0)</calculatedColumnFormula>
    </tableColumn>
    <tableColumn id="113" xr3:uid="{9FA9F4D4-4393-4D43-B2D3-A515A914D9AB}" name="3.5* Max Gas (MJ)" dataDxfId="600">
      <calculatedColumnFormula>ROUNDDOWN(tbl_Hospital_Multi[[#This Row],[3.5* Max Energy (MJ)]]*tbl_Hospital_Multi[[Gas (%)]:[Gas (%)]],0)</calculatedColumnFormula>
    </tableColumn>
    <tableColumn id="114" xr3:uid="{18C99E82-7051-4C15-A1FA-F3244EE18C34}" name="3.0* Max Gas (MJ)" dataDxfId="599">
      <calculatedColumnFormula>ROUNDDOWN(tbl_Hospital_Multi[[#This Row],[3.0* Max Energy (MJ)]]*tbl_Hospital_Multi[[Gas (%)]:[Gas (%)]],0)</calculatedColumnFormula>
    </tableColumn>
    <tableColumn id="115" xr3:uid="{D2D48499-C365-4D80-8025-03784C2A6DB6}" name="2.5* Max Gas (MJ)" dataDxfId="598">
      <calculatedColumnFormula>ROUNDDOWN(tbl_Hospital_Multi[[#This Row],[2.5* Max Energy (MJ)]]*tbl_Hospital_Multi[[Gas (%)]:[Gas (%)]],0)</calculatedColumnFormula>
    </tableColumn>
    <tableColumn id="116" xr3:uid="{5C9CD032-3473-46E7-90C4-9ECF99F19BB2}" name="2.0* Max Gas (MJ)" dataDxfId="597">
      <calculatedColumnFormula>ROUNDDOWN(tbl_Hospital_Multi[[#This Row],[2.0* Max Energy (MJ)]]*tbl_Hospital_Multi[[Gas (%)]:[Gas (%)]],0)</calculatedColumnFormula>
    </tableColumn>
    <tableColumn id="117" xr3:uid="{EA67E40D-CEC9-4DB8-A60B-7AC596E237DC}" name="1.5* Max Gas (MJ)" dataDxfId="596">
      <calculatedColumnFormula>ROUNDDOWN(tbl_Hospital_Multi[[#This Row],[1.5* Max Energy (MJ)]]*tbl_Hospital_Multi[[Gas (%)]:[Gas (%)]],0)</calculatedColumnFormula>
    </tableColumn>
    <tableColumn id="118" xr3:uid="{F677BA6A-EE32-4AE5-BEC3-B86BDD4BCAFD}" name="1.0* Max Gas (MJ)" dataDxfId="595">
      <calculatedColumnFormula>ROUNDDOWN(tbl_Hospital_Multi[[#This Row],[1.0* Max Energy (MJ)]]*tbl_Hospital_Multi[[Gas (%)]:[Gas (%)]],0)</calculatedColumnFormula>
    </tableColumn>
    <tableColumn id="32" xr3:uid="{B4375876-6FC7-41B0-B1B1-C2E303A4A6D6}" name="0.0* Max Gas (MJ)" dataDxfId="594">
      <calculatedColumnFormula>ROUNDDOWN(tbl_Hospital_Multi[[#This Row],[0.0* Max Energy (MJ)]]*tbl_Hospital_Multi[[Gas (%)]:[Gas (%)]],0)</calculatedColumnFormula>
    </tableColumn>
    <tableColumn id="135" xr3:uid="{7661A7AD-9269-40E4-84E4-16223334EDF5}" name="6.0* Max LPG (L)" dataDxfId="593">
      <calculatedColumnFormula>ROUNDDOWN(tbl_Hospital_Multi[[#This Row],[6.0* Max Energy (MJ)]]*tbl_Hospital_Multi[[LPG (%)]:[LPG (%)]]/tbl_Hospital_Multi[[CFLPG]:[CFLPG]],0)</calculatedColumnFormula>
    </tableColumn>
    <tableColumn id="136" xr3:uid="{07BDB5D0-44EA-40EB-96B6-92F760C7F6FC}" name="5.5* Max LPG (L)" dataDxfId="592">
      <calculatedColumnFormula>ROUNDDOWN(tbl_Hospital_Multi[[#This Row],[5.5* Max Energy (MJ)]]*tbl_Hospital_Multi[[LPG (%)]:[LPG (%)]]/tbl_Hospital_Multi[[CFLPG]:[CFLPG]],0)</calculatedColumnFormula>
    </tableColumn>
    <tableColumn id="137" xr3:uid="{BC91E668-9413-45A9-B450-9D4994B66C24}" name="5.0* Max LPG (L)" dataDxfId="591">
      <calculatedColumnFormula>ROUNDDOWN(tbl_Hospital_Multi[[#This Row],[5.0* Max Energy (MJ)]]*tbl_Hospital_Multi[[LPG (%)]:[LPG (%)]]/tbl_Hospital_Multi[[CFLPG]:[CFLPG]],0)</calculatedColumnFormula>
    </tableColumn>
    <tableColumn id="138" xr3:uid="{F9508D97-0B36-4DE7-BF40-D68F331819AA}" name="4.5* Max LPG (L)" dataDxfId="590">
      <calculatedColumnFormula>ROUNDDOWN(tbl_Hospital_Multi[[#This Row],[4.5* Max Energy (MJ)]]*tbl_Hospital_Multi[[LPG (%)]:[LPG (%)]]/tbl_Hospital_Multi[[CFLPG]:[CFLPG]],0)</calculatedColumnFormula>
    </tableColumn>
    <tableColumn id="139" xr3:uid="{A76DCEF7-08F1-4F38-9A19-4B00E4D0D481}" name="4.0* Max LPG (L)" dataDxfId="589">
      <calculatedColumnFormula>ROUNDDOWN(tbl_Hospital_Multi[[#This Row],[4.0* Max Energy (MJ)]]*tbl_Hospital_Multi[[LPG (%)]:[LPG (%)]]/tbl_Hospital_Multi[[CFLPG]:[CFLPG]],0)</calculatedColumnFormula>
    </tableColumn>
    <tableColumn id="140" xr3:uid="{8A36CDB7-3D43-4424-B75C-269216D6C1C3}" name="3.5* Max LPG (L)" dataDxfId="588">
      <calculatedColumnFormula>ROUNDDOWN(tbl_Hospital_Multi[[#This Row],[3.5* Max Energy (MJ)]]*tbl_Hospital_Multi[[LPG (%)]:[LPG (%)]]/tbl_Hospital_Multi[[CFLPG]:[CFLPG]],0)</calculatedColumnFormula>
    </tableColumn>
    <tableColumn id="144" xr3:uid="{6368892D-7B49-4884-8A73-F2B85D3F360E}" name="3.0* Max LPG (L)" dataDxfId="587">
      <calculatedColumnFormula>ROUNDDOWN(tbl_Hospital_Multi[[#This Row],[3.0* Max Energy (MJ)]]*tbl_Hospital_Multi[[LPG (%)]:[LPG (%)]]/tbl_Hospital_Multi[[CFLPG]:[CFLPG]],0)</calculatedColumnFormula>
    </tableColumn>
    <tableColumn id="147" xr3:uid="{D9723DEF-56CB-4604-AEB8-7D34B4A70802}" name="2.5* Max LPG (L)" dataDxfId="586">
      <calculatedColumnFormula>ROUNDDOWN(tbl_Hospital_Multi[[#This Row],[2.5* Max Energy (MJ)]]*tbl_Hospital_Multi[[LPG (%)]:[LPG (%)]]/tbl_Hospital_Multi[[CFLPG]:[CFLPG]],0)</calculatedColumnFormula>
    </tableColumn>
    <tableColumn id="149" xr3:uid="{73F71B66-FD86-4341-972F-166F450B6E8B}" name="2.0* Max LPG (L)" dataDxfId="585">
      <calculatedColumnFormula>ROUNDDOWN(tbl_Hospital_Multi[[#This Row],[2.0* Max Energy (MJ)]]*tbl_Hospital_Multi[[LPG (%)]:[LPG (%)]]/tbl_Hospital_Multi[[CFLPG]:[CFLPG]],0)</calculatedColumnFormula>
    </tableColumn>
    <tableColumn id="150" xr3:uid="{A630FE0F-003C-4829-8FDA-4424AF86E42B}" name="1.5* Max LPG (L)" dataDxfId="584">
      <calculatedColumnFormula>ROUNDDOWN(tbl_Hospital_Multi[[#This Row],[1.5* Max Energy (MJ)]]*tbl_Hospital_Multi[[LPG (%)]:[LPG (%)]]/tbl_Hospital_Multi[[CFLPG]:[CFLPG]],0)</calculatedColumnFormula>
    </tableColumn>
    <tableColumn id="153" xr3:uid="{FF1D83BA-61A7-4031-85F6-EE93A6CE8D64}" name="1.0* Max LPG (L)" dataDxfId="583">
      <calculatedColumnFormula>ROUNDDOWN(tbl_Hospital_Multi[[#This Row],[1.0* Max Energy (MJ)]]*tbl_Hospital_Multi[[LPG (%)]:[LPG (%)]]/tbl_Hospital_Multi[[CFLPG]:[CFLPG]],0)</calculatedColumnFormula>
    </tableColumn>
    <tableColumn id="31" xr3:uid="{6E352C57-B3F0-46D1-AD1F-088741F8E3DF}" name="0.0* Max LPG (L)" dataDxfId="582">
      <calculatedColumnFormula>ROUNDDOWN(tbl_Hospital_Multi[[#This Row],[0.0* Max Energy (MJ)]]*tbl_Hospital_Multi[[LPG (%)]:[LPG (%)]]/tbl_Hospital_Multi[[CFLPG]:[CFLPG]],0)</calculatedColumnFormula>
    </tableColumn>
    <tableColumn id="119" xr3:uid="{5CA22EF8-EAD8-4B4C-B57F-6497CC10137E}" name="6.0* Max Diesel (L)" dataDxfId="581">
      <calculatedColumnFormula>ROUNDDOWN(tbl_Hospital_Multi[[#This Row],[6.0* Max Energy (MJ)]]*tbl_Hospital_Multi[[Diesel (%)]:[Diesel (%)]]/tbl_Hospital_Multi[[CFdiesel]:[CFdiesel]],0)</calculatedColumnFormula>
    </tableColumn>
    <tableColumn id="120" xr3:uid="{9D4B0E65-E8CD-49C5-8ACE-C15B8FB49995}" name="5.5* Max Diesel (L)" dataDxfId="580">
      <calculatedColumnFormula>ROUNDDOWN(tbl_Hospital_Multi[[#This Row],[5.5* Max Energy (MJ)]]*tbl_Hospital_Multi[[Diesel (%)]:[Diesel (%)]]/tbl_Hospital_Multi[[CFdiesel]:[CFdiesel]],0)</calculatedColumnFormula>
    </tableColumn>
    <tableColumn id="121" xr3:uid="{9F849F81-DCD4-4CDA-907F-14AEDA243594}" name="5.0* Max Diesel (L)" dataDxfId="579">
      <calculatedColumnFormula>ROUNDDOWN(tbl_Hospital_Multi[[#This Row],[5.0* Max Energy (MJ)]]*tbl_Hospital_Multi[[Diesel (%)]:[Diesel (%)]]/tbl_Hospital_Multi[[CFdiesel]:[CFdiesel]],0)</calculatedColumnFormula>
    </tableColumn>
    <tableColumn id="122" xr3:uid="{B084ED07-2790-4EEC-B0D3-F1CD9EF87DA5}" name="4.5* Max Diesel (L)" dataDxfId="578">
      <calculatedColumnFormula>ROUNDDOWN(tbl_Hospital_Multi[[#This Row],[4.5* Max Energy (MJ)]]*tbl_Hospital_Multi[[Diesel (%)]:[Diesel (%)]]/tbl_Hospital_Multi[[CFdiesel]:[CFdiesel]],0)</calculatedColumnFormula>
    </tableColumn>
    <tableColumn id="123" xr3:uid="{46BC53AA-8F53-4F0A-87BE-5853CCADAA30}" name="4.0* Max Diesel (L)" dataDxfId="577">
      <calculatedColumnFormula>ROUNDDOWN(tbl_Hospital_Multi[[#This Row],[4.0* Max Energy (MJ)]]*tbl_Hospital_Multi[[Diesel (%)]:[Diesel (%)]]/tbl_Hospital_Multi[[CFdiesel]:[CFdiesel]],0)</calculatedColumnFormula>
    </tableColumn>
    <tableColumn id="124" xr3:uid="{9F35C505-672B-465C-897E-8ABC528E817E}" name="3.5* Max Diesel (L)" dataDxfId="576">
      <calculatedColumnFormula>ROUNDDOWN(tbl_Hospital_Multi[[#This Row],[3.5* Max Energy (MJ)]]*tbl_Hospital_Multi[[Diesel (%)]:[Diesel (%)]]/tbl_Hospital_Multi[[CFdiesel]:[CFdiesel]],0)</calculatedColumnFormula>
    </tableColumn>
    <tableColumn id="125" xr3:uid="{4B2B5C3D-10DB-486B-BFCC-0E4C014A6976}" name="3.0* Max Diesel (L)" dataDxfId="575">
      <calculatedColumnFormula>ROUNDDOWN(tbl_Hospital_Multi[[#This Row],[3.0* Max Energy (MJ)]]*tbl_Hospital_Multi[[Diesel (%)]:[Diesel (%)]]/tbl_Hospital_Multi[[CFdiesel]:[CFdiesel]],0)</calculatedColumnFormula>
    </tableColumn>
    <tableColumn id="126" xr3:uid="{755E421A-01A5-4AAD-A1D3-A1EA0BF66466}" name="2.5* Max Diesel (L)" dataDxfId="574">
      <calculatedColumnFormula>ROUNDDOWN(tbl_Hospital_Multi[[#This Row],[2.5* Max Energy (MJ)]]*tbl_Hospital_Multi[[Diesel (%)]:[Diesel (%)]]/tbl_Hospital_Multi[[CFdiesel]:[CFdiesel]],0)</calculatedColumnFormula>
    </tableColumn>
    <tableColumn id="127" xr3:uid="{7948D47C-9126-4145-921B-622D0FEE5355}" name="2.0* Max Diesel (L)" dataDxfId="573">
      <calculatedColumnFormula>ROUNDDOWN(tbl_Hospital_Multi[[#This Row],[2.0* Max Energy (MJ)]]*tbl_Hospital_Multi[[Diesel (%)]:[Diesel (%)]]/tbl_Hospital_Multi[[CFdiesel]:[CFdiesel]],0)</calculatedColumnFormula>
    </tableColumn>
    <tableColumn id="128" xr3:uid="{8E5BA2AD-389D-48CB-AF17-35B9C8BAF30B}" name="1.5* Max Diesel (L)" dataDxfId="572">
      <calculatedColumnFormula>ROUNDDOWN(tbl_Hospital_Multi[[#This Row],[1.5* Max Energy (MJ)]]*tbl_Hospital_Multi[[Diesel (%)]:[Diesel (%)]]/tbl_Hospital_Multi[[CFdiesel]:[CFdiesel]],0)</calculatedColumnFormula>
    </tableColumn>
    <tableColumn id="129" xr3:uid="{2B3E955E-3F44-4009-A582-7A55CE612C94}" name="1.0* Max Diesel (L)" dataDxfId="571">
      <calculatedColumnFormula>ROUNDDOWN(tbl_Hospital_Multi[[#This Row],[1.0* Max Energy (MJ)]]*tbl_Hospital_Multi[[Diesel (%)]:[Diesel (%)]]/tbl_Hospital_Multi[[CFdiesel]:[CFdiesel]],0)</calculatedColumnFormula>
    </tableColumn>
    <tableColumn id="8" xr3:uid="{6C6228CF-4403-4BE0-A113-566896AA2472}" name="0.0* Max Diesel (L)" dataDxfId="570">
      <calculatedColumnFormula>ROUNDDOWN(tbl_Hospital_Multi[[#This Row],[0.0* Max Energy (MJ)]]*tbl_Hospital_Multi[[Diesel (%)]:[Diesel (%)]]/tbl_Hospital_Multi[[CFdiesel]:[CFdiesel]],0)</calculatedColumnFormula>
    </tableColumn>
    <tableColumn id="93" xr3:uid="{5AECCD7F-6C8D-4755-A494-7D9762F4C93A}" name="6.0* Max BF Water" dataDxfId="569">
      <calculatedColumnFormula>(LEFT(tbl_Hospital_Multi[[#Headers],[6.0* Max BF Water]],3)-7)/(-6/159)</calculatedColumnFormula>
    </tableColumn>
    <tableColumn id="94" xr3:uid="{6A478389-20C6-4A4D-A34D-28F023CEED20}" name="5.5* Max BF Water" dataDxfId="568">
      <calculatedColumnFormula>(LEFT(tbl_Hospital_Multi[[#Headers],[5.5* Max BF Water]],3)-7)/(-6/159)</calculatedColumnFormula>
    </tableColumn>
    <tableColumn id="95" xr3:uid="{FE907FDF-6A0C-4A1B-B6FD-861A6E7A8D9B}" name="5.0* Max BF Water" dataDxfId="567">
      <calculatedColumnFormula>(LEFT(tbl_Hospital_Multi[[#Headers],[5.0* Max BF Water]],3)-7)/(-6/159)</calculatedColumnFormula>
    </tableColumn>
    <tableColumn id="96" xr3:uid="{430FF1FD-C62D-4403-A828-1B0797F1D79C}" name="4.5* Max BF Water" dataDxfId="566">
      <calculatedColumnFormula>(LEFT(tbl_Hospital_Multi[[#Headers],[4.5* Max BF Water]],3)-7)/(-6/159)</calculatedColumnFormula>
    </tableColumn>
    <tableColumn id="130" xr3:uid="{E138C403-FF16-4481-863E-12F48836945B}" name="4.0* Max BF Water" dataDxfId="565">
      <calculatedColumnFormula>(LEFT(tbl_Hospital_Multi[[#Headers],[4.0* Max BF Water]],3)-7)/(-6/159)</calculatedColumnFormula>
    </tableColumn>
    <tableColumn id="132" xr3:uid="{37F940B8-D5CF-4EE1-B63F-896D493D7FAB}" name="3.5* Max BF Water" dataDxfId="564">
      <calculatedColumnFormula>(LEFT(tbl_Hospital_Multi[[#Headers],[3.5* Max BF Water]],3)-7)/(-6/159)</calculatedColumnFormula>
    </tableColumn>
    <tableColumn id="174" xr3:uid="{CB0AC02B-CDE9-4152-B71F-E6833DA4EE98}" name="3.0* Max BF Water" dataDxfId="563">
      <calculatedColumnFormula>(LEFT(tbl_Hospital_Multi[[#Headers],[3.0* Max BF Water]],3)-7)/(-6/159)</calculatedColumnFormula>
    </tableColumn>
    <tableColumn id="176" xr3:uid="{DCE8E101-A78E-4835-9ACB-30D479CCBCA9}" name="2.5* Max BF Water" dataDxfId="562">
      <calculatedColumnFormula>(LEFT(tbl_Hospital_Multi[[#Headers],[2.5* Max BF Water]],3)-7)/(-6/159)</calculatedColumnFormula>
    </tableColumn>
    <tableColumn id="177" xr3:uid="{F8D8DC9D-6400-41DF-BDDF-B961D286F581}" name="2.0* Max BF  Water" dataDxfId="561">
      <calculatedColumnFormula>(LEFT(tbl_Hospital_Multi[[#Headers],[2.0* Max BF  Water]],3)-7)/(-6/159)</calculatedColumnFormula>
    </tableColumn>
    <tableColumn id="181" xr3:uid="{43A09B2A-8F96-48BC-A5C6-CC742A844735}" name="1.5* Max BF  Water" dataDxfId="560">
      <calculatedColumnFormula>(LEFT(tbl_Hospital_Multi[[#Headers],[1.5* Max BF  Water]],3)-7)/(-6/159)</calculatedColumnFormula>
    </tableColumn>
    <tableColumn id="182" xr3:uid="{AF6AE6C9-3EAD-4A8A-9C61-531B359D7006}" name="1.0* Max BF  Water" dataDxfId="559">
      <calculatedColumnFormula>(LEFT(tbl_Hospital_Multi[[#Headers],[1.0* Max BF  Water]],3)-7)/(-6/159)</calculatedColumnFormula>
    </tableColumn>
    <tableColumn id="183" xr3:uid="{53DDFDA2-E664-4D74-A2ED-0D659725F243}" name="0.0* Max BF  Water" dataDxfId="558">
      <calculatedColumnFormula>(LEFT(tbl_Hospital_Multi[[#Headers],[0.0* Max BF  Water]],3)-7)/(-6/159)</calculatedColumnFormula>
    </tableColumn>
    <tableColumn id="193" xr3:uid="{5B7ED0F2-11E3-4218-9440-93CA9109C6AB}" name="6.0* Max Water (kL)" dataDxfId="557">
      <calculatedColumnFormula>tbl_Hospital_Multi[[#This Row],[6.0* Max BF Water]]*tbl_Hospital_Multi[[Predicted Water Consumption]:[Predicted Water Consumption]]/100</calculatedColumnFormula>
    </tableColumn>
    <tableColumn id="194" xr3:uid="{6D1D40E9-62D5-427C-8F14-5D4B1B3C7C2C}" name="5.5* Max Water (kL)" dataDxfId="556">
      <calculatedColumnFormula>tbl_Hospital_Multi[[#This Row],[5.5* Max BF Water]]*tbl_Hospital_Multi[[Predicted Water Consumption]:[Predicted Water Consumption]]/100</calculatedColumnFormula>
    </tableColumn>
    <tableColumn id="195" xr3:uid="{C6DD8E6B-037F-4242-9612-EA899886543F}" name="5.0* Max Water (kL)" dataDxfId="555">
      <calculatedColumnFormula>tbl_Hospital_Multi[[#This Row],[5.0* Max BF Water]]*tbl_Hospital_Multi[[Predicted Water Consumption]:[Predicted Water Consumption]]/100</calculatedColumnFormula>
    </tableColumn>
    <tableColumn id="196" xr3:uid="{DA2D7660-A328-43B0-9EE6-146718A2F2DE}" name="4.5* Max Water (kL)" dataDxfId="554">
      <calculatedColumnFormula>tbl_Hospital_Multi[[#This Row],[4.5* Max BF Water]]*tbl_Hospital_Multi[[Predicted Water Consumption]:[Predicted Water Consumption]]/100</calculatedColumnFormula>
    </tableColumn>
    <tableColumn id="197" xr3:uid="{79DE2A80-55EA-4036-8F65-D1DA346B6065}" name="4.0* Max Water (kL)" dataDxfId="553">
      <calculatedColumnFormula>tbl_Hospital_Multi[[#This Row],[4.0* Max BF Water]]*tbl_Hospital_Multi[[Predicted Water Consumption]:[Predicted Water Consumption]]/100</calculatedColumnFormula>
    </tableColumn>
    <tableColumn id="198" xr3:uid="{F73B3C11-1052-4581-8ECA-3C379A46A98C}" name="3.5* Max Water (kL)" dataDxfId="552">
      <calculatedColumnFormula>tbl_Hospital_Multi[[#This Row],[3.5* Max BF Water]]*tbl_Hospital_Multi[[Predicted Water Consumption]:[Predicted Water Consumption]]/100</calculatedColumnFormula>
    </tableColumn>
    <tableColumn id="199" xr3:uid="{B2BE3535-C29C-437A-891D-D3C7E47471C7}" name="3.0* Max Water (kL)" dataDxfId="551">
      <calculatedColumnFormula>tbl_Hospital_Multi[[#This Row],[3.0* Max BF Water]]*tbl_Hospital_Multi[[Predicted Water Consumption]:[Predicted Water Consumption]]/100</calculatedColumnFormula>
    </tableColumn>
    <tableColumn id="200" xr3:uid="{AC6CA234-9270-434F-AD6F-C3EB5760C5C1}" name="2.5* Max Water (kL)" dataDxfId="550">
      <calculatedColumnFormula>tbl_Hospital_Multi[[#This Row],[2.5* Max BF Water]]*tbl_Hospital_Multi[[Predicted Water Consumption]:[Predicted Water Consumption]]/100</calculatedColumnFormula>
    </tableColumn>
    <tableColumn id="201" xr3:uid="{4BA9E4FC-C222-4405-87D6-CEA7823A091B}" name="2.0* Max Water (kL)" dataDxfId="549">
      <calculatedColumnFormula>tbl_Hospital_Multi[[#This Row],[2.0* Max BF  Water]]*tbl_Hospital_Multi[[Predicted Water Consumption]:[Predicted Water Consumption]]/100</calculatedColumnFormula>
    </tableColumn>
    <tableColumn id="202" xr3:uid="{5802CA51-1E48-4E65-9152-643714F65E66}" name="1.5* Max Water (kL)" dataDxfId="548">
      <calculatedColumnFormula>tbl_Hospital_Multi[[#This Row],[1.5* Max BF  Water]]*tbl_Hospital_Multi[[Predicted Water Consumption]:[Predicted Water Consumption]]/100</calculatedColumnFormula>
    </tableColumn>
    <tableColumn id="203" xr3:uid="{4607DCBF-8CC6-46FA-A7A0-00A379D84AEB}" name="1.0* Max Water (kL)" dataDxfId="547">
      <calculatedColumnFormula>tbl_Hospital_Multi[[#This Row],[1.0* Max BF  Water]]*tbl_Hospital_Multi[[Predicted Water Consumption]:[Predicted Water Consumption]]/100</calculatedColumnFormula>
    </tableColumn>
    <tableColumn id="7" xr3:uid="{A42BCD1A-9E36-4C29-81AB-437B8DDCADCD}" name="0.0* Max Water (kL)" dataDxfId="546">
      <calculatedColumnFormula>tbl_Hospital_Multi[[#This Row],[0.0* Max BF  Water]]*tbl_Hospital_Multi[[Predicted Water Consumption]:[Predicted Water Consumption]]/100</calculatedColumnFormula>
    </tableColumn>
    <tableColumn id="23" xr3:uid="{780EC111-2C91-43F2-9BF2-86F9A77BC242}" name="FWD Scope 1,2&amp;3" dataDxfId="545"/>
    <tableColumn id="30" xr3:uid="{D03788CB-5D1A-4F43-B773-4ECC42AB5D1F}" name="FWD Scope 1&amp;2" dataDxfId="544"/>
    <tableColumn id="220" xr3:uid="{3FD95E26-F61B-445C-9C49-311C7C1F29C6}" name="Energy Star (with GP)" dataDxfId="543">
      <calculatedColumnFormula>IF(tbl_Hospital_Multi[[#This Row],[Energy Star Decimal (with GP)]]&lt;1,0,MIN(ROUNDDOWN(tbl_Hospital_Multi[[#This Row],[Energy Star Decimal (with GP)]]*2,0)/2,6))</calculatedColumnFormula>
    </tableColumn>
    <tableColumn id="50" xr3:uid="{8BF4A244-9DAD-47DA-BF7B-58DC87021BF4}" name="Energy Star Decimal (with GP)" dataDxfId="542">
      <calculatedColumnFormula>((tbl_Hospital_Multi[[#This Row],[e-BF (with GP)]]*(-3.5/100)+7)*2)/2</calculatedColumnFormula>
    </tableColumn>
    <tableColumn id="48" xr3:uid="{C9588D35-59F7-4891-99FB-DE37EC48D748}" name="Energy Star (no GP)" dataDxfId="541">
      <calculatedColumnFormula>IF(tbl_Hospital_Multi[[#This Row],[Energy Star Decimal (no GP)]]&lt;1,0,MIN(ROUNDDOWN(tbl_Hospital_Multi[[#This Row],[Energy Star Decimal (no GP)]]*2,0)/2,6))</calculatedColumnFormula>
    </tableColumn>
    <tableColumn id="24" xr3:uid="{6CED6F03-5439-41BF-A2DB-A00E7AB591A6}" name="Energy Star Decimal (no GP)" dataDxfId="540">
      <calculatedColumnFormula>((tbl_Hospital_Multi[[#This Row],[e-BF (no GP)]]*(-3.5/100)+7)*2)/2</calculatedColumnFormula>
    </tableColumn>
    <tableColumn id="45" xr3:uid="{9B12CE98-0D53-4F13-A2BE-D896CD0830AF}" name="e-BF (with GP)" dataDxfId="539">
      <calculatedColumnFormula>SUM(tbl_Hospital_Multi[[#This Row],[Electricity]]*(1-tbl_Hospital_Multi[[#This Row],[GP]])*tbl_Hospital_Multi[[#This Row],[SGEe2022]],
tbl_Hospital_Multi[[#This Row],[Gas]]*tbl_Hospital_Multi[[#This Row],[SGEg2022]],
tbl_Hospital_Multi[[#This Row],[LPG]]*tbl_Hospital_Multi[[#This Row],[SGEL2022]],
tbl_Hospital_Multi[[#This Row],[Diesel]]*tbl_Hospital_Multi[[#This Row],[SGEd2022]])
/tbl_Hospital_Multi[[#This Row],[Predicted Emissions]]*100</calculatedColumnFormula>
    </tableColumn>
    <tableColumn id="175" xr3:uid="{AC7D3047-5ED7-4388-B20A-42BB776C5037}" name="e-BF (no GP)" dataDxfId="538">
      <calculatedColumnFormula>SUM(tbl_Hospital_Multi[[#This Row],[Electricity]]*tbl_Hospital_Multi[[#This Row],[SGEe2022]],
tbl_Hospital_Multi[[#This Row],[Gas]]*tbl_Hospital_Multi[[#This Row],[SGEg2022]],
tbl_Hospital_Multi[[#This Row],[LPG]]*tbl_Hospital_Multi[[#This Row],[SGEL2022]],
tbl_Hospital_Multi[[#This Row],[Diesel]]*tbl_Hospital_Multi[[#This Row],[SGEd2022]])
/tbl_Hospital_Multi[[#This Row],[Predicted Emissions]]*100</calculatedColumnFormula>
    </tableColumn>
    <tableColumn id="189" xr3:uid="{150B50DC-6177-4C82-AE5C-E77BD89C8E13}" name="Water Star (with recyc)" dataDxfId="537">
      <calculatedColumnFormula>IF(tbl_Hospital_Multi[[#This Row],[Water Star Decimal (with recyc)]]&lt;1,1,MIN(ROUNDDOWN(tbl_Hospital_Multi[[#This Row],[Water Star Decimal (with recyc)]]*2,0)/2,6))</calculatedColumnFormula>
    </tableColumn>
    <tableColumn id="58" xr3:uid="{5AA31E14-DDA1-46BC-8F40-878153C644C1}" name="Water Star Decimal (with recyc)" dataDxfId="536">
      <calculatedColumnFormula>((tbl_Hospital_Multi[[#This Row],[w-BF (with recyc)]]*(-6/159)+7)*2)/2</calculatedColumnFormula>
    </tableColumn>
    <tableColumn id="59" xr3:uid="{40169A58-FF13-4A9C-B439-F03FDE697E21}" name="Water Star (no recyc)" dataDxfId="535">
      <calculatedColumnFormula>IF(tbl_Hospital_Multi[[#This Row],[Water Star Decimal (no recyc)]]&lt;1,1,MIN(ROUNDDOWN(tbl_Hospital_Multi[[#This Row],[Water Star Decimal (no recyc)]]*2,0)/2,6))</calculatedColumnFormula>
    </tableColumn>
    <tableColumn id="60" xr3:uid="{2AB0D69E-F127-4378-BF3A-1A3B94326316}" name="Water Star Decimal (no recyc)" dataDxfId="534">
      <calculatedColumnFormula>((tbl_Hospital_Multi[[#This Row],[w-BF (no recyc)]]*(-6/159)+7)*2)/2</calculatedColumnFormula>
    </tableColumn>
    <tableColumn id="51" xr3:uid="{EC5D0742-18C2-489A-9DCC-646A36DDA9FF}" name="w-BF (with recyc)" dataDxfId="533">
      <calculatedColumnFormula>tbl_Hospital_Multi[[#This Row],[water]]*(1-tbl_Hospital_Multi[[#This Row],[RW]])/tbl_Hospital_Multi[[#This Row],[Predicted Water Consumption]]*100</calculatedColumnFormula>
    </tableColumn>
    <tableColumn id="53" xr3:uid="{05664923-FABF-46C1-B2BB-771B1C63F1AA}" name="w-BF (no recyc)" dataDxfId="532">
      <calculatedColumnFormula>tbl_Hospital_Multi[[#This Row],[water]]/tbl_Hospital_Multi[[#This Row],[Predicted Water Consumption]]*100</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DAF47A99-126A-4005-9C60-F56B646D8AC3}" name="tbl_RACRL_Multi" displayName="tbl_RACRL_Multi" ref="A3:IA6" totalsRowShown="0" headerRowDxfId="524" tableBorderDxfId="523">
  <autoFilter ref="A3:IA6" xr:uid="{912DCB91-0EE1-4B70-BDB9-4E27D3EB38A8}"/>
  <tableColumns count="235">
    <tableColumn id="222" xr3:uid="{B9C7CF3A-51BE-4913-9A7D-9B378583E3E5}" name="Target Energy" dataDxfId="522"/>
    <tableColumn id="223" xr3:uid="{D9B9BC48-5AD4-4A06-8653-FAF99DC5B309}" name="Target Water" dataDxfId="521"/>
    <tableColumn id="62" xr3:uid="{F8A415AF-EED2-49B1-AA4C-080F91FDA866}" name="Rating Type" dataDxfId="520"/>
    <tableColumn id="1" xr3:uid="{8B5E66EF-F43F-4D42-B3C0-3BBE723FF4F0}" name="Postcode" dataDxfId="519"/>
    <tableColumn id="2" xr3:uid="{8DA99D90-B996-4B71-B37F-3E6C6B4B2E30}" name="Site Area" dataDxfId="518"/>
    <tableColumn id="3" xr3:uid="{099C1DF2-628C-41E1-B63B-8094766C7927}" name="OBD" dataDxfId="517"/>
    <tableColumn id="4" xr3:uid="{A7B1D9E3-7E06-4C0A-A15F-7916291332BB}" name="Dwellings" dataDxfId="516"/>
    <tableColumn id="5" xr3:uid="{1F8B2A14-7D0E-4D66-A6D9-0F3F796655A9}" name="Serviced Apartments" dataDxfId="515"/>
    <tableColumn id="148" xr3:uid="{514AAC0A-23C2-4DA9-BA8C-CEA9B375728B}" name="Heated Pool" dataDxfId="514"/>
    <tableColumn id="6" xr3:uid="{2D22FC9C-7E48-482E-9384-CA9EB263359D}" name="Heated Pool Area" dataDxfId="513"/>
    <tableColumn id="30" xr3:uid="{CED0A5D6-2CCF-479C-ADF5-CA30D3B7BE36}" name="Unheated Pool" dataDxfId="512"/>
    <tableColumn id="7" xr3:uid="{CDCF8086-77D9-46D5-8D18-CBF0F17BBB68}" name="Unheated Pool Area" dataDxfId="511"/>
    <tableColumn id="33" xr3:uid="{160A5C6E-A983-4069-8454-2D17221C9604}" name="Heavy Laundry" dataDxfId="510">
      <calculatedColumnFormula>RACRL_Heavy_Laundry</calculatedColumnFormula>
    </tableColumn>
    <tableColumn id="8" xr3:uid="{C939A1FD-B040-4B14-BAD2-78E562D0A08B}" name="MealsResident" dataDxfId="509"/>
    <tableColumn id="9" xr3:uid="{0AEE253A-F2CE-4263-81E5-CA22C3B5DAAA}" name="MealsNonResident" dataDxfId="508"/>
    <tableColumn id="141" xr3:uid="{1EAF13D2-2FAB-4A85-92C4-E7543919D2FF}" name="Electricity (%)" dataDxfId="507"/>
    <tableColumn id="142" xr3:uid="{98DE253B-F0E3-4E96-A7DE-0E1C5643C3C7}" name="Gas (%)" dataDxfId="506"/>
    <tableColumn id="23" xr3:uid="{1AA9E15F-171F-4113-A9BB-ED107200E062}" name="LPG (%)" dataDxfId="505"/>
    <tableColumn id="143" xr3:uid="{8870C735-1C47-4C20-A09C-1AD495F1DD61}" name="Diesel (%)" dataDxfId="504"/>
    <tableColumn id="207" xr3:uid="{94B563EF-2E2D-4B89-B547-53574709FFFA}" name="Energy Benchmark Factor" dataDxfId="503">
      <calculatedColumnFormula>tbl_RACRL_Multi[[#This Row],[Target Max Energy BF]]</calculatedColumnFormula>
    </tableColumn>
    <tableColumn id="224" xr3:uid="{970B6A8D-7F32-42F1-AB3C-3088CFDADF3B}" name="Predicted Ave Emissions" dataDxfId="502">
      <calculatedColumnFormula>tbl_RACRL_Multi[[#This Row],[Predicted Emissions]]</calculatedColumnFormula>
    </tableColumn>
    <tableColumn id="225" xr3:uid="{88C6C869-D82D-4B37-AAA5-C14297FC4815}" name="Max Emissions at Target" dataDxfId="501">
      <calculatedColumnFormula>tbl_RACRL_Multi[[#This Row],[Target Max CO2]]</calculatedColumnFormula>
    </tableColumn>
    <tableColumn id="16" xr3:uid="{AF1C85A7-DCEA-4713-9087-A81B9594FED5}" name="Max Emissions Intensity at Target" dataDxfId="500">
      <calculatedColumnFormula>tbl_RACRL_Multi[[#This Row],[Target Max CO2 Intensity]]</calculatedColumnFormula>
    </tableColumn>
    <tableColumn id="130" xr3:uid="{E1F9F750-FF24-401B-AFBA-6C9FC402E96D}" name="Max Energy Intensity at Target" dataDxfId="499">
      <calculatedColumnFormula>tbl_RACRL_Multi[[#This Row],[Target Max Energy Intensity]]</calculatedColumnFormula>
    </tableColumn>
    <tableColumn id="226" xr3:uid="{B8B19505-44BB-437E-8A20-EF512DC9A301}" name="Actual Scope 1,2&amp;3 at Target" dataDxfId="498">
      <calculatedColumnFormula>tbl_RACRL_Multi[[#This Row],[Target Scopes 1,2&amp;3]]</calculatedColumnFormula>
    </tableColumn>
    <tableColumn id="227" xr3:uid="{D8E65F63-B4C9-4FD2-A1F6-A2229B08D2CD}" name="Actual Scope 1&amp;2 at Targe" dataDxfId="497">
      <calculatedColumnFormula>tbl_RACRL_Multi[[#This Row],[Target Scopes 1&amp;2]]</calculatedColumnFormula>
    </tableColumn>
    <tableColumn id="228" xr3:uid="{ED9E72BE-0F66-446E-86D8-9FC9C3C13B61}" name="Max Elec (kWh) at Target" dataDxfId="496">
      <calculatedColumnFormula>tbl_RACRL_Multi[[#This Row],[Target Max Elec (kWh)]]</calculatedColumnFormula>
    </tableColumn>
    <tableColumn id="229" xr3:uid="{F6E5B86A-DC98-49E5-9DBB-8F7A6179EA18}" name="Max Gas (MJ) at Target" dataDxfId="495">
      <calculatedColumnFormula>tbl_RACRL_Multi[[#This Row],[Target Max Gas (MJ)]]</calculatedColumnFormula>
    </tableColumn>
    <tableColumn id="75" xr3:uid="{0AF0E578-AEC8-4AB8-9DB8-F850D4A99396}" name="Max LPG (L) at Target" dataDxfId="494">
      <calculatedColumnFormula>tbl_RACRL_Multi[[#This Row],[Target Max LPG (L)]]</calculatedColumnFormula>
    </tableColumn>
    <tableColumn id="11" xr3:uid="{696A2330-BCFB-4A89-BF84-C6B265DCD788}" name="Max LPG (MJ) at Target" dataDxfId="493">
      <calculatedColumnFormula>tbl_RACRL_Multi[[#This Row],[Target Max LPG (MJ)]]</calculatedColumnFormula>
    </tableColumn>
    <tableColumn id="230" xr3:uid="{5C564DE7-2929-4446-B719-C15BABBECFFC}" name="Max Diesel (L) at Target" dataDxfId="492">
      <calculatedColumnFormula>tbl_RACRL_Multi[[#This Row],[Target Max Diesel (L)]]</calculatedColumnFormula>
    </tableColumn>
    <tableColumn id="211" xr3:uid="{39D1FCCA-DB96-4A46-BAB1-5A6664992552}" name="Water Benchmark Factor" dataDxfId="491">
      <calculatedColumnFormula>tbl_RACRL_Multi[[#This Row],[Target Max Water BF]]</calculatedColumnFormula>
    </tableColumn>
    <tableColumn id="232" xr3:uid="{5EFC4D5F-4FF4-417A-9D61-5C696AA0EDBE}" name="Predicted Ave Water" dataDxfId="490">
      <calculatedColumnFormula>tbl_RACRL_Multi[[#This Row],[Predicted Water]]</calculatedColumnFormula>
    </tableColumn>
    <tableColumn id="233" xr3:uid="{2EC47FAD-412D-4F71-B86B-BF45EFCE785B}" name="Max Water (kL) at Target" dataDxfId="489">
      <calculatedColumnFormula>tbl_RACRL_Multi[[#This Row],[Target Max Water (kL)]]</calculatedColumnFormula>
    </tableColumn>
    <tableColumn id="28" xr3:uid="{AA20A894-04FF-4A1A-A9BD-FBBC4B33B4AE}" name="Max Water Intensity at Target" dataDxfId="488">
      <calculatedColumnFormula>tbl_RACRL_Multi[[#This Row],[Target Max Water Intensity]]</calculatedColumnFormula>
    </tableColumn>
    <tableColumn id="12" xr3:uid="{7C8C459D-2A21-48A2-9A3E-7F14B28EAC89}" name="Electricity" dataDxfId="487"/>
    <tableColumn id="13" xr3:uid="{ED2DFB5E-C855-465E-BABA-7B47ED1EFEBE}" name="Gas" dataDxfId="486"/>
    <tableColumn id="14" xr3:uid="{C8D1DC80-E92E-4BE1-A783-60A0FD00A640}" name="Diesel" dataDxfId="485"/>
    <tableColumn id="24" xr3:uid="{E3FF420D-08F2-4075-8819-468BD37AA46C}" name="LPG" dataDxfId="484"/>
    <tableColumn id="15" xr3:uid="{14B33BF3-C567-4B37-852D-A04569A2E1DE}" name="GP" dataDxfId="483"/>
    <tableColumn id="17" xr3:uid="{FA585314-E396-4C1F-B094-577688024792}" name="Water" dataDxfId="482"/>
    <tableColumn id="18" xr3:uid="{569049C8-1191-41B5-B5F5-3C94E2DE3A81}" name="RW" dataDxfId="481"/>
    <tableColumn id="19" xr3:uid="{7AAAD9D6-6F2B-49B1-9F77-E84F373B48D5}" name="State" dataDxfId="480">
      <calculatedColumnFormula>INDEX(tbl_Climate_Lookup[],MATCH(tbl_RACRL_Multi[[Postcode]:[Postcode]],tbl_Climate_Lookup[[Postcode]:[Postcode]],0),MATCH(tbl_RACRL_Multi[[#Headers],[State]],tbl_Climate_Lookup[#Headers],0))</calculatedColumnFormula>
    </tableColumn>
    <tableColumn id="20" xr3:uid="{6D8A6BD8-2B98-4DDC-8620-1911C70DBDBF}" name="Climate zone" dataDxfId="479">
      <calculatedColumnFormula>INDEX(tbl_Climate_Lookup[],MATCH(tbl_RACRL_Multi[[Postcode]:[Postcode]],tbl_Climate_Lookup[[Postcode]:[Postcode]],0),MATCH(tbl_RACRL_Multi[[#Headers],[Climate zone]],tbl_Climate_Lookup[#Headers],0))</calculatedColumnFormula>
    </tableColumn>
    <tableColumn id="21" xr3:uid="{E75F739A-9EB7-4405-B4E5-6F8861973862}" name="HDD" dataDxfId="478">
      <calculatedColumnFormula>INDEX(tbl_Climate_Lookup[],MATCH(tbl_RACRL_Multi[[Postcode]:[Postcode]],tbl_Climate_Lookup[[Postcode]:[Postcode]],0),MATCH(tbl_RACRL_Multi[[#Headers],[HDD]],tbl_Climate_Lookup[#Headers],0))</calculatedColumnFormula>
    </tableColumn>
    <tableColumn id="22" xr3:uid="{86E41FE8-8E7F-4888-96B8-5D1E587666C0}" name="CDD" dataDxfId="477">
      <calculatedColumnFormula>INDEX(tbl_Climate_Lookup[],MATCH(tbl_RACRL_Multi[[Postcode]:[Postcode]],tbl_Climate_Lookup[[Postcode]:[Postcode]],0),MATCH(tbl_RACRL_Multi[[#Headers],[CDD]],tbl_Climate_Lookup[#Headers],0))</calculatedColumnFormula>
    </tableColumn>
    <tableColumn id="34" xr3:uid="{D3965F8D-FD35-42A4-A8BC-9A9020C5D3D8}" name="IRR" dataDxfId="476">
      <calculatedColumnFormula>INDEX(tbl_Climate_Lookup[],MATCH(tbl_RACRL_Multi[[Postcode]:[Postcode]],tbl_Climate_Lookup[[Postcode]:[Postcode]],0),MATCH(tbl_RACRL_Multi[[#Headers],[IRR]],tbl_Climate_Lookup[#Headers],0))</calculatedColumnFormula>
    </tableColumn>
    <tableColumn id="25" xr3:uid="{D721B552-A6E3-4300-A60A-6C2570628785}" name="SGEe" dataDxfId="475">
      <calculatedColumnFormula>INDEX(tbl_SGE_2020[],MATCH(tbl_RACRL_Multi[[State]:[State]],tbl_SGE_2020[[State]:[State]],0),MATCH(tbl_RACRL_Multi[[#Headers],[SGEe]],tbl_SGE_2020[#Headers],0))</calculatedColumnFormula>
    </tableColumn>
    <tableColumn id="26" xr3:uid="{1608A6F1-A8A4-4787-B7C0-78E4D2801260}" name="SGEg" dataDxfId="474">
      <calculatedColumnFormula>INDEX(tbl_SGE_2020[],MATCH(tbl_RACRL_Multi[[State]:[State]],tbl_SGE_2020[[State]:[State]],0),MATCH(tbl_RACRL_Multi[[#Headers],[SGEg]],tbl_SGE_2020[#Headers],0))</calculatedColumnFormula>
    </tableColumn>
    <tableColumn id="167" xr3:uid="{8F8B7863-590C-40BA-B85C-AF330CFA8808}" name="SGEl" dataDxfId="473">
      <calculatedColumnFormula>INDEX(tbl_SGE_2020[],MATCH(tbl_RACRL_Multi[[State]:[State]],tbl_SGE_2020[[State]:[State]],0),MATCH(tbl_RACRL_Multi[[#Headers],[SGEl]],tbl_SGE_2020[#Headers],0))</calculatedColumnFormula>
    </tableColumn>
    <tableColumn id="27" xr3:uid="{A0AF5860-A28B-403C-9042-80C58F4F000F}" name="SGEd" dataDxfId="472">
      <calculatedColumnFormula>IF(tbl_RACRL_Multi[[#This Row],[State]]="TAS",2.8371,
INDEX(tbl_SGE_2020[],MATCH(tbl_RACRL_Multi[[State]:[State]],tbl_SGE_2020[[State]:[State]],0),MATCH(tbl_RACRL_Multi[[#Headers],[SGEd]],tbl_SGE_2020[#Headers],0)))</calculatedColumnFormula>
    </tableColumn>
    <tableColumn id="145" xr3:uid="{A41C2AC4-40CB-4325-9E48-44A8F0E147B0}" name="CFelec" dataDxfId="471">
      <calculatedColumnFormula>INDEX(tbl_Conversion_Factors[[Conversion Factors]:[Conversion Factors]],MATCH(tbl_RACRL_Multi[[#Headers],[CFelec]],tbl_Conversion_Factors[[Reference]:[Reference]],0))</calculatedColumnFormula>
    </tableColumn>
    <tableColumn id="169" xr3:uid="{C2ED1D53-25A4-4AC4-A7EC-080EE99C0A66}" name="CFlpg" dataDxfId="470">
      <calculatedColumnFormula>INDEX(tbl_Conversion_Factors[[Conversion Factors]:[Conversion Factors]],MATCH(tbl_RACRL_Multi[[#Headers],[CFlpg]],tbl_Conversion_Factors[[Reference]:[Reference]],0))</calculatedColumnFormula>
    </tableColumn>
    <tableColumn id="146" xr3:uid="{9FA63331-BBA4-499B-80FC-D5C98B030DFB}" name="CFdiesel" dataDxfId="469">
      <calculatedColumnFormula>INDEX(tbl_Conversion_Factors[[Conversion Factors]:[Conversion Factors]],MATCH(tbl_RACRL_Multi[[#Headers],[CFdiesel]],tbl_Conversion_Factors[[Reference]:[Reference]],0))</calculatedColumnFormula>
    </tableColumn>
    <tableColumn id="151" xr3:uid="{5594FBE4-3FDA-4848-AD48-6CE1C6FC7048}" name="SGEeMJ" dataDxfId="468">
      <calculatedColumnFormula>tbl_RACRL_Multi[[#This Row],[SGEe]]/tbl_RACRL_Multi[[#This Row],[CFelec]]</calculatedColumnFormula>
    </tableColumn>
    <tableColumn id="166" xr3:uid="{69CD580E-EDD3-4F55-8D20-DDB090A527C7}" name="SGElMJ" dataDxfId="467">
      <calculatedColumnFormula>tbl_RACRL_Multi[[#This Row],[SGEl]]/tbl_RACRL_Multi[[#This Row],[CFlpg]]</calculatedColumnFormula>
    </tableColumn>
    <tableColumn id="152" xr3:uid="{07F1B49F-97A9-4227-A26A-85C7B01919E4}" name="SGEdMJ" dataDxfId="466">
      <calculatedColumnFormula>tbl_RACRL_Multi[[#This Row],[SGEd]]/tbl_RACRL_Multi[[#This Row],[CFdiesel]]</calculatedColumnFormula>
    </tableColumn>
    <tableColumn id="154" xr3:uid="{BC2AFABB-310B-4878-8DA7-23F12CABB29E}" name="EffGHG" dataDxfId="465">
      <calculatedColumnFormula>IF(SUM(tbl_RACRL_Multi[[#This Row],[Electricity (%)]:[Diesel (%)]])=1,
SUM(tbl_RACRL_Multi[[#This Row],[Electricity (%)]]*tbl_RACRL_Multi[[#This Row],[SGEeMJ]],
tbl_RACRL_Multi[[#This Row],[Gas (%)]]*tbl_RACRL_Multi[[#This Row],[SGEg]],
tbl_RACRL_Multi[[#This Row],[LPG (%)]]*tbl_RACRL_Multi[[#This Row],[SGEg]],
tbl_RACRL_Multi[[#This Row],[Diesel (%)]]*tbl_RACRL_Multi[[#This Row],[SGEdMJ]]),
0)</calculatedColumnFormula>
    </tableColumn>
    <tableColumn id="244" xr3:uid="{F9266612-990B-4166-8D9C-16FD2D2A6F4B}" name="SGEe Scopes 1,2&amp;3" dataDxfId="464">
      <calculatedColumnFormula>INDEX(tbl_NGA_Factors_2021[],MATCH(tbl_RACRL_Multi[[State]:[State]],tbl_NGA_Factors_2021[[State]:[State]],0),MATCH(tbl_RACRL_Multi[[#Headers],[SGEe Scopes 1,2&amp;3]],tbl_NGA_Factors_2021[#Headers],0))</calculatedColumnFormula>
    </tableColumn>
    <tableColumn id="245" xr3:uid="{EDD9AF9C-3502-4F36-AAAE-EB8E6F0D0720}" name="SGEg Scopes 1,2&amp;3" dataDxfId="463">
      <calculatedColumnFormula>INDEX(tbl_NGA_Factors_2021[],MATCH(tbl_RACRL_Multi[[State]:[State]],tbl_NGA_Factors_2021[[State]:[State]],0),MATCH(tbl_RACRL_Multi[[#Headers],[SGEg Scopes 1,2&amp;3]],tbl_NGA_Factors_2021[#Headers],0))</calculatedColumnFormula>
    </tableColumn>
    <tableColumn id="153" xr3:uid="{D488507F-3C18-4D44-BEA4-5EDE818DC9C6}" name="SGEl Scopes 1,2&amp;3" dataDxfId="462">
      <calculatedColumnFormula>INDEX(tbl_NGA_Factors_2021[],MATCH(tbl_RACRL_Multi[[State]:[State]],tbl_NGA_Factors_2021[[State]:[State]],0),MATCH(tbl_RACRL_Multi[[#Headers],[SGEl Scopes 1,2&amp;3]],tbl_NGA_Factors_2021[#Headers],0))</calculatedColumnFormula>
    </tableColumn>
    <tableColumn id="246" xr3:uid="{D56889A9-845A-4E59-BDD2-72634C95371E}" name="SGEd Scopes 1,2&amp;3" dataDxfId="461">
      <calculatedColumnFormula>INDEX(tbl_NGA_Factors_2021[],MATCH(tbl_RACRL_Multi[[State]:[State]],tbl_NGA_Factors_2021[[State]:[State]],0),MATCH(tbl_RACRL_Multi[[#Headers],[SGEd Scopes 1,2&amp;3]],tbl_NGA_Factors_2021[#Headers],0))</calculatedColumnFormula>
    </tableColumn>
    <tableColumn id="248" xr3:uid="{1EC401A7-395E-4A47-9D97-EF5EF4870B4C}" name="SGEe Scopes 1&amp;2" dataDxfId="460">
      <calculatedColumnFormula>INDEX(tbl_NGA_Factors_2021[],MATCH(tbl_RACRL_Multi[[State]:[State]],tbl_NGA_Factors_2021[[State]:[State]],0),MATCH(tbl_RACRL_Multi[[#Headers],[SGEe Scopes 1&amp;2]],tbl_NGA_Factors_2021[#Headers],0))</calculatedColumnFormula>
    </tableColumn>
    <tableColumn id="249" xr3:uid="{2184B0CC-86A7-434A-B241-2571ACC83DCC}" name="SGEg Scopes 1&amp;2" dataDxfId="459">
      <calculatedColumnFormula>INDEX(tbl_NGA_Factors_2021[],MATCH(tbl_RACRL_Multi[[State]:[State]],tbl_NGA_Factors_2021[[State]:[State]],0),MATCH(tbl_RACRL_Multi[[#Headers],[SGEg Scopes 1&amp;2]],tbl_NGA_Factors_2021[#Headers],0))</calculatedColumnFormula>
    </tableColumn>
    <tableColumn id="150" xr3:uid="{6C74E684-7716-408E-BC08-7CCFE6FD3895}" name="SGEl Scopes 1&amp;2" dataDxfId="458">
      <calculatedColumnFormula>INDEX(tbl_NGA_Factors_2021[],MATCH(tbl_RACRL_Multi[[State]:[State]],tbl_NGA_Factors_2021[[State]:[State]],0),MATCH(tbl_RACRL_Multi[[#Headers],[SGEl Scopes 1&amp;2]],tbl_NGA_Factors_2021[#Headers],0))</calculatedColumnFormula>
    </tableColumn>
    <tableColumn id="250" xr3:uid="{CB27C41B-1290-4E4D-833C-DBA8C80B9E18}" name="SGEd Scopes 1&amp;2" dataDxfId="457">
      <calculatedColumnFormula>INDEX(tbl_NGA_Factors_2021[],MATCH(tbl_RACRL_Multi[[State]:[State]],tbl_NGA_Factors_2021[[State]:[State]],0),MATCH(tbl_RACRL_Multi[[#Headers],[SGEd Scopes 1&amp;2]],tbl_NGA_Factors_2021[#Headers],0))</calculatedColumnFormula>
    </tableColumn>
    <tableColumn id="35" xr3:uid="{8353F9F1-4300-4D67-B8C5-0A07BB15D886}" name="Beadj" dataDxfId="456">
      <calculatedColumnFormula>IF(tbl_RACRL_Multi[[#This Row],[Rating Type]]="Residential Aged Care",tbl_RACRL_Multi[[#This Row],[Beadj RAC]],
IF(tbl_RACRL_Multi[[#This Row],[Rating Type]]="Retirement Living",tbl_RACRL_Multi[[#This Row],[Beadj RL]],
IF(tbl_RACRL_Multi[[#This Row],[Rating Type]]="Co-Located Facility",tbl_RACRL_Multi[[#This Row],[Beadj CL]],0)))</calculatedColumnFormula>
    </tableColumn>
    <tableColumn id="137" xr3:uid="{1357373C-E578-4AF5-886D-BC6974951BE1}" name="Beorig" dataDxfId="455">
      <calculatedColumnFormula>IF(tbl_RACRL_Multi[[#This Row],[Rating Type]]="Residential Aged Care",tbl_RACRL_Multi[[#This Row],[Beorig RAC]],
IF(tbl_RACRL_Multi[[#This Row],[Rating Type]]="Retirement Living",tbl_RACRL_Multi[[#This Row],[Beorig RL]],
IF(tbl_RACRL_Multi[[#This Row],[Rating Type]]="Co-Located Facility",tbl_RACRL_Multi[[#This Row],[Beorig CL]],0)))</calculatedColumnFormula>
    </tableColumn>
    <tableColumn id="144" xr3:uid="{A05368AC-C0D1-4711-BC6E-71C8DD3E4478}" name="State SGE adjustment RAC" dataDxfId="454">
      <calculatedColumnFormula>SUM((0.59*tbl_RACRL_Multi[[#This Row],[SGEe]]/0.9),(0.41*tbl_RACRL_Multi[[#This Row],[SGEg]]/0.06463))</calculatedColumnFormula>
    </tableColumn>
    <tableColumn id="147" xr3:uid="{BB0A2A07-D8AA-47C3-9991-2ACE47A10832}" name="State SGE adjustment RL" dataDxfId="453">
      <calculatedColumnFormula>SUM((0.94*tbl_RACRL_Multi[[#This Row],[SGEe]]/0.9),(0.06*tbl_RACRL_Multi[[#This Row],[SGEg]]/0.06463))</calculatedColumnFormula>
    </tableColumn>
    <tableColumn id="149" xr3:uid="{09BFA761-002F-4282-81FB-00021962664E}" name="State SGE adjustment CL" dataDxfId="452">
      <calculatedColumnFormula>SUM((0.78*tbl_RACRL_Multi[[#This Row],[SGEe]]/0.9),(0.22*tbl_RACRL_Multi[[#This Row],[SGEg]]/0.06463))</calculatedColumnFormula>
    </tableColumn>
    <tableColumn id="138" xr3:uid="{AA5DDBB0-2ECC-416D-B6DD-12D810E70BA2}" name="Beadj RAC" dataDxfId="451">
      <calculatedColumnFormula>tbl_RACRL_Multi[[#This Row],[State SGE adjustment RAC]]*tbl_RACRL_Multi[[#This Row],[Beorig RAC]]</calculatedColumnFormula>
    </tableColumn>
    <tableColumn id="42" xr3:uid="{D77DAB6C-0164-4932-988B-8102CC9DECBC}" name="Beorig RAC" dataDxfId="450">
      <calculatedColumnFormula>SUM(tbl_RACRL_Multi[[#This Row],[(16.061,0.00018*HDD+2.216*HL)*OBD]],tbl_RACRL_Multi[[#This Row],[1500*(Poolheated-1.7)]],tbl_RACRL_Multi[[#This Row],[2*52*MealsNRWeekly]])</calculatedColumnFormula>
    </tableColumn>
    <tableColumn id="139" xr3:uid="{28B20E51-BEF3-46B3-9245-4C3219A8039C}" name="Beadj RL" dataDxfId="449">
      <calculatedColumnFormula>tbl_RACRL_Multi[[#This Row],[State SGE adjustment RL]]*tbl_RACRL_Multi[[#This Row],[Beorig RL]]</calculatedColumnFormula>
    </tableColumn>
    <tableColumn id="181" xr3:uid="{E7A6BD0D-41B8-4731-A2F9-83FA41E7B3D3}" name="Beorig RL" dataDxfId="448">
      <calculatedColumnFormula>SUM(tbl_RACRL_Multi[[#This Row],[(1500Poolheated + 232.2Dwellings)*(0.000008Site Area + 0.1811)*(0.0009HDD+0.474)]],tbl_RACRL_Multi[[#This Row],[960*Poolunheated]],tbl_RACRL_Multi[[#This Row],[2*52*Mealsweekly]],tbl_RACRL_Multi[[#This Row],[3333.3*Serviced Apartments]])</calculatedColumnFormula>
    </tableColumn>
    <tableColumn id="140" xr3:uid="{DF8A0ED7-E2D2-4C5E-8C21-3F1B2583F720}" name="Beadj CL" dataDxfId="447">
      <calculatedColumnFormula>tbl_RACRL_Multi[[#This Row],[State SGE adjustment CL]]*tbl_RACRL_Multi[[#This Row],[Beorig CL]]</calculatedColumnFormula>
    </tableColumn>
    <tableColumn id="29" xr3:uid="{4E79DA8D-79E0-43BA-8EA3-B758005E8DF6}" name="Beorig CL" dataDxfId="446">
      <calculatedColumnFormula>SUM(RACRL_C_E_RAC_Intercept,
tbl_RACRL_Multi[[#This Row],[0.0018*HDD]],
tbl_RACRL_Multi[[#This Row],[2.216*HL]])*tbl_RACRL_Multi[[#This Row],[OBD]]+
SUM(tbl_RACRL_Multi[[#This Row],[1500*Poolheated]],
tbl_RACRL_Multi[[#This Row],[232.2*Dwellings]])*tbl_RACRL_Multi[[#This Row],[0.000008*Site Area + 0.1811]]*tbl_RACRL_Multi[[#This Row],[0.0009*HDD+0.474]]+
SUM(tbl_RACRL_Multi[[#This Row],[960*Poolunheated]],
tbl_RACRL_Multi[[#This Row],[2*52*Mealsweekly]],
tbl_RACRL_Multi[[#This Row],[3333.3*Serviced Apartments]])</calculatedColumnFormula>
    </tableColumn>
    <tableColumn id="172" xr3:uid="{4AE57AB0-6202-4184-8634-4FADC9F4CCD4}" name="(16.061,0.00018*HDD+2.216*HL)*OBD" dataDxfId="445">
      <calculatedColumnFormula>SUM(RACRL_C_E_RAC_Intercept,tbl_RACRL_Multi[[#This Row],[0.0018*HDD]],tbl_RACRL_Multi[[#This Row],[2.216*HL]])*tbl_RACRL_Multi[[#This Row],[OBD]]</calculatedColumnFormula>
    </tableColumn>
    <tableColumn id="31" xr3:uid="{0A7814F8-197F-40AD-AC66-CFF0D3600909}" name="0.0018*HDD" dataDxfId="444">
      <calculatedColumnFormula>RACRL_C_E_RAC_HDD*tbl_RACRL_Multi[[#This Row],[HDD]]</calculatedColumnFormula>
    </tableColumn>
    <tableColumn id="32" xr3:uid="{CBC760CF-5A4D-49EA-B032-F7E3F35383E1}" name="2.216*HL" dataDxfId="443">
      <calculatedColumnFormula>IF(tbl_RACRL_Multi[[#This Row],[Heavy Laundry]]="Yes",RACRL_C_E_Heavy_Laundry,0)</calculatedColumnFormula>
    </tableColumn>
    <tableColumn id="36" xr3:uid="{49B41E05-97D3-441B-BD28-B703BE851058}" name="1500*(Poolheated-1.7)" dataDxfId="442">
      <calculatedColumnFormula>IF(tbl_RACRL_Multi[[#This Row],[Heated Pool]]="Yes",RACRL_C_E_Heated_Pool*(tbl_RACRL_Multi[[#This Row],[Heated Pool Area]]-RACRL_C_E_Heated_Pool_Area_Adjustment),0)</calculatedColumnFormula>
    </tableColumn>
    <tableColumn id="37" xr3:uid="{3076E628-5A0E-40BE-A9E8-3B4275702C49}" name="2*52*MealsNRWeekly" dataDxfId="441">
      <calculatedColumnFormula>2*52*tbl_RACRL_Multi[[#This Row],[MealsNonResident]]</calculatedColumnFormula>
    </tableColumn>
    <tableColumn id="175" xr3:uid="{F3793F9A-79CF-4983-BA82-6E889F61E7C3}" name="(1500Poolheated + 232.2Dwellings)*(0.000008Site Area + 0.1811)*(0.0009HDD+0.474)" dataDxfId="440">
      <calculatedColumnFormula>SUM(tbl_RACRL_Multi[[#This Row],[1500*Poolheated]],tbl_RACRL_Multi[[#This Row],[232.2*Dwellings]])*tbl_RACRL_Multi[[#This Row],[0.000008*Site Area + 0.1811]]*tbl_RACRL_Multi[[#This Row],[0.0009*HDD+0.474]]</calculatedColumnFormula>
    </tableColumn>
    <tableColumn id="38" xr3:uid="{BF1D1156-BA9F-487E-AE2A-53129FD61A56}" name="1500*Poolheated" dataDxfId="439">
      <calculatedColumnFormula>IF(tbl_RACRL_Multi[[#This Row],[Heated Pool]]="Yes",RACRL_C_E_RL_Heated_Pool*tbl_RACRL_Multi[[#This Row],[Heated Pool Area]],0)</calculatedColumnFormula>
    </tableColumn>
    <tableColumn id="39" xr3:uid="{9159F230-DCE5-474B-95C5-BD2A70043CF1}" name="232.2*Dwellings" dataDxfId="438">
      <calculatedColumnFormula>RACRL_C_E_RL_Dwellings*tbl_RACRL_Multi[[#This Row],[Dwellings]]</calculatedColumnFormula>
    </tableColumn>
    <tableColumn id="41" xr3:uid="{507156E8-40D6-4414-9905-C4F76AD06676}" name="0.000008*Site Area + 0.1811" dataDxfId="437">
      <calculatedColumnFormula>RACRL_C_E_RL_Site_Area*tbl_RACRL_Multi[[#This Row],[Site Area]]+RACRL_C_E_RL_Site_Area_Intercept</calculatedColumnFormula>
    </tableColumn>
    <tableColumn id="43" xr3:uid="{1A470ECA-9874-4036-8D15-90588FAA61B1}" name="0.0009*HDD+0.474" dataDxfId="436">
      <calculatedColumnFormula>RACRL_C_E_RL_HDD*tbl_RACRL_Multi[[#This Row],[HDD]]+RACRL_C_E_RL_HDD_Intercept</calculatedColumnFormula>
    </tableColumn>
    <tableColumn id="50" xr3:uid="{B7074BFF-FA8E-4554-9FED-A95DA28DC8BC}" name="960*Poolunheated" dataDxfId="435">
      <calculatedColumnFormula>IF(tbl_RACRL_Multi[[#This Row],[Unheated Pool]]="Yes",RACRL_C_E_RL_Unheated_Pool*tbl_RACRL_Multi[[#This Row],[Unheated Pool Area]],0)</calculatedColumnFormula>
    </tableColumn>
    <tableColumn id="53" xr3:uid="{2C337E8E-9D21-4703-BD2D-4228CD8BFACE}" name="2*52*Mealsweekly" dataDxfId="434">
      <calculatedColumnFormula>RACRL_C_E_Total_Meals*SUM(tbl_RACRL_Multi[[#This Row],[MealsResident]],tbl_RACRL_Multi[[#This Row],[MealsNonResident]])</calculatedColumnFormula>
    </tableColumn>
    <tableColumn id="60" xr3:uid="{BCA2F1A7-0AD6-44EB-AE46-537213074696}" name="3333.3*Serviced Apartments" dataDxfId="433">
      <calculatedColumnFormula>RACRL_C_E_RL_Serviced_Apartments*tbl_RACRL_Multi[[#This Row],[Serviced Apartments]]</calculatedColumnFormula>
    </tableColumn>
    <tableColumn id="52" xr3:uid="{B0FAF683-BED3-49BA-96DF-837618986DD9}" name="Bw" dataDxfId="432">
      <calculatedColumnFormula>IF(tbl_RACRL_Multi[[#This Row],[Rating Type]]="Residential Aged Care",tbl_RACRL_Multi[[#This Row],[Bw RAC]],
IF(tbl_RACRL_Multi[[#This Row],[Rating Type]]="Retirement Living",tbl_RACRL_Multi[[#This Row],[Bw RL]],
IF(tbl_RACRL_Multi[[#This Row],[Rating Type]]="Co-Located Facility",tbl_RACRL_Multi[[#This Row],[Bw CL]],
0)))</calculatedColumnFormula>
    </tableColumn>
    <tableColumn id="61" xr3:uid="{A91B390B-08A3-445D-B62A-24F97C363A5B}" name="Bw RAC" dataDxfId="431">
      <calculatedColumnFormula>SUM(tbl_RACRL_Multi[[#This Row],[(0.2307+ 0.0001*CDD+0.0529*HL) * ODB]],tbl_RACRL_Multi[[#This Row],[2.132*MealsNR]])</calculatedColumnFormula>
    </tableColumn>
    <tableColumn id="136" xr3:uid="{18DE65E0-7CDF-4885-8C9A-F6C83262A070}" name="Bw RL" dataDxfId="430">
      <calculatedColumnFormula>SUM(tbl_RACRL_Multi[[#This Row],[54.355*Dwellings]],tbl_RACRL_Multi[[#This Row],[0.0001*SiteArea*IRR]],tbl_RACRL_Multi[[#This Row],[2.132*MealsWeekly]],tbl_RACRL_Multi[[#This Row],[10*Poolheated-287]])</calculatedColumnFormula>
    </tableColumn>
    <tableColumn id="131" xr3:uid="{095B4F54-09CD-4339-BF2F-5577E6EF2F76}" name="Bw CL" dataDxfId="429">
      <calculatedColumnFormula>SUM(tbl_RACRL_Multi[[#This Row],[100.028*Dwellings]],tbl_RACRL_Multi[[#This Row],[0.0003*SiteArea*IRR]],tbl_RACRL_Multi[[#This Row],[2.132*MealsWeekly]],tbl_RACRL_Multi[[#This Row],[10*Poolheated-287]],tbl_RACRL_Multi[[#This Row],[(0.2307+ 0.0001*CDD+0.0529*HL) * ODB]])</calculatedColumnFormula>
    </tableColumn>
    <tableColumn id="133" xr3:uid="{5A0773E9-B36A-4800-9FA8-983BF9DC5F7A}" name="(0.2307+ 0.0001*CDD+0.0529*HL) * ODB" dataDxfId="428">
      <calculatedColumnFormula>(RACRL_C_W_RAC_Intercept+tbl_RACRL_Multi[[#This Row],[0.0001*CDD]]+tbl_RACRL_Multi[[#This Row],[0.0529*HL]])*tbl_RACRL_Multi[[#This Row],[OBD]]</calculatedColumnFormula>
    </tableColumn>
    <tableColumn id="54" xr3:uid="{C9AD127F-20C2-4AFC-8B5B-47435B791ED8}" name="0.0001*CDD" dataDxfId="427">
      <calculatedColumnFormula>RACRL_C_W_RAC_CDD*tbl_RACRL_Multi[[#This Row],[CDD]]</calculatedColumnFormula>
    </tableColumn>
    <tableColumn id="55" xr3:uid="{86D4E3BA-D691-45B0-B6DE-A86809EA95CC}" name="0.0529*HL" dataDxfId="426">
      <calculatedColumnFormula>IF(tbl_RACRL_Multi[[#This Row],[Heavy Laundry]]="Yes",RACRL_C_W_RAC_Heavy_Laundry,0)</calculatedColumnFormula>
    </tableColumn>
    <tableColumn id="56" xr3:uid="{8E28801A-41A3-43DF-8332-64FA71275EDD}" name="2.132*MealsNR" dataDxfId="425">
      <calculatedColumnFormula>RACRL_C_W_Meals*tbl_RACRL_Multi[[#This Row],[MealsNonResident]]</calculatedColumnFormula>
    </tableColumn>
    <tableColumn id="57" xr3:uid="{331DA256-388E-48C9-899D-9041C384B3A1}" name="100.028*Dwellings" dataDxfId="424">
      <calculatedColumnFormula>RACRL_C_W_CL_Dwellings*tbl_RACRL_Multi[[#This Row],[Dwellings]]</calculatedColumnFormula>
    </tableColumn>
    <tableColumn id="135" xr3:uid="{78504606-4C68-4466-9D8F-EE3C750FB13A}" name="54.355*Dwellings" dataDxfId="423">
      <calculatedColumnFormula>RACRL_C_W_RL_Dwellings*tbl_RACRL_Multi[[#This Row],[Dwellings]]</calculatedColumnFormula>
    </tableColumn>
    <tableColumn id="58" xr3:uid="{B49961F6-4358-4ECB-AF30-55B4F633A69E}" name="0.0003*SiteArea*IRR" dataDxfId="422">
      <calculatedColumnFormula>RACRL_C_W_CL_Site_Area_IRR*tbl_RACRL_Multi[[#This Row],[Site Area]]*tbl_RACRL_Multi[[#This Row],[IRR]]</calculatedColumnFormula>
    </tableColumn>
    <tableColumn id="134" xr3:uid="{E85C0698-1ACF-4C3D-B83C-6BFAD1C35BF8}" name="0.0001*SiteArea*IRR" dataDxfId="421">
      <calculatedColumnFormula>RACRL_C_W_RL_Site_Area_IRR*tbl_RACRL_Multi[[#This Row],[Site Area]]*tbl_RACRL_Multi[[#This Row],[IRR]]</calculatedColumnFormula>
    </tableColumn>
    <tableColumn id="59" xr3:uid="{8AE88259-91D7-4C7D-9835-0223FDCBD7A4}" name="2.132*MealsWeekly" dataDxfId="420">
      <calculatedColumnFormula>RACRL_C_W_Meals*SUM(tbl_RACRL_Multi[[#This Row],[MealsResident]],tbl_RACRL_Multi[[#This Row],[MealsNonResident]])</calculatedColumnFormula>
    </tableColumn>
    <tableColumn id="63" xr3:uid="{6C82FCE9-7D25-47CC-82E3-539918892D7A}" name="10*Poolheated-287" dataDxfId="419">
      <calculatedColumnFormula>IF(tbl_RACRL_Multi[[#This Row],[Heated Pool]]="Yes",RACRL_C_W_Heated_Pool*tbl_RACRL_Multi[[#This Row],[Heated Pool Area]]-RACRL_C_W_Heated_Pool_Area_Offset,-RACRL_C_W_Heated_Pool_Area_Offset)</calculatedColumnFormula>
    </tableColumn>
    <tableColumn id="168" xr3:uid="{F58D0C20-1FB8-495D-8C30-45258D35167E}" name="Predicted Emissions" dataDxfId="418">
      <calculatedColumnFormula>tbl_RACRL_Multi[[#This Row],[Beadj]]*tbl_RACRL_Multi[[#This Row],[Site Area]]</calculatedColumnFormula>
    </tableColumn>
    <tableColumn id="234" xr3:uid="{094CC90C-FD86-49C9-A4BA-4925C4CB11C8}" name="Target Max Energy BF" dataDxfId="417">
      <calculatedColumnFormula>(7.001-tbl_RACRL_Multi[[#This Row],[Target Energy]])/(3.5018)</calculatedColumnFormula>
    </tableColumn>
    <tableColumn id="238" xr3:uid="{17BF16C0-317B-4E0B-B63B-3E9A15184F26}" name="Target Max CO2" dataDxfId="416">
      <calculatedColumnFormula>tbl_RACRL_Multi[[#This Row],[Target Max Energy BF]]*tbl_RACRL_Multi[[#This Row],[Predicted Emissions]]</calculatedColumnFormula>
    </tableColumn>
    <tableColumn id="40" xr3:uid="{F0CC40FE-CB46-444B-937F-2E4B50AE06F2}" name="Target Max CO2 Intensity" dataDxfId="415">
      <calculatedColumnFormula>tbl_RACRL_Multi[[#This Row],[Target Max CO2]]/IF(tbl_RACRL_Multi[[#This Row],[Rating Type]]="Residential Aged Care",tbl_RACRL_Multi[[#This Row],[OBD]],tbl_RACRL_Multi[[#This Row],[Site Area]])</calculatedColumnFormula>
    </tableColumn>
    <tableColumn id="239" xr3:uid="{BA363BF8-42A7-4E6D-BD90-4F41D6F99709}" name="Target Max Energy (MJ)" dataDxfId="414">
      <calculatedColumnFormula>tbl_RACRL_Multi[[#This Row],[Target Max CO2]]/tbl_RACRL_Multi[[EffGHG]:[EffGHG]]</calculatedColumnFormula>
    </tableColumn>
    <tableColumn id="206" xr3:uid="{91E68648-7176-477C-B008-0A38EF55745B}" name="Target Max Energy Intensity" dataDxfId="413">
      <calculatedColumnFormula>tbl_RACRL_Multi[[#This Row],[Target Max Energy (MJ)]]/IF(tbl_RACRL_Multi[[#This Row],[Rating Type]]="Residential Aged Care",tbl_RACRL_Multi[[#This Row],[OBD]],tbl_RACRL_Multi[[#This Row],[Site Area]])</calculatedColumnFormula>
    </tableColumn>
    <tableColumn id="240" xr3:uid="{0CC5A627-070B-46E7-9FF3-D0F893423F88}" name="Target Max Elec (kWh)" dataDxfId="412">
      <calculatedColumnFormula>ROUNDDOWN(tbl_RACRL_Multi[[#This Row],[Target Max Energy (MJ)]]*tbl_RACRL_Multi[[Electricity (%)]:[Electricity (%)]]/tbl_RACRL_Multi[[CFelec]:[CFelec]],0)</calculatedColumnFormula>
    </tableColumn>
    <tableColumn id="241" xr3:uid="{9348CC02-6E3C-4BF1-9CD7-30A3DE8EFF6F}" name="Target Max Gas (MJ)" dataDxfId="411">
      <calculatedColumnFormula>ROUNDDOWN(tbl_RACRL_Multi[[#This Row],[Target Max Energy (MJ)]]*tbl_RACRL_Multi[[Gas (%)]:[Gas (%)]],0)</calculatedColumnFormula>
    </tableColumn>
    <tableColumn id="76" xr3:uid="{FB4B8080-1A4C-4222-8C5B-1BBA3F23B0B3}" name="Target Max LPG (L)" dataDxfId="410">
      <calculatedColumnFormula>ROUNDDOWN(tbl_RACRL_Multi[[#This Row],[Target Max Energy (MJ)]]*tbl_RACRL_Multi[[LPG (%)]:[LPG (%)]]/tbl_RACRL_Multi[[CFlpg]:[CFlpg]],0)</calculatedColumnFormula>
    </tableColumn>
    <tableColumn id="242" xr3:uid="{AB315807-9154-4DB1-875D-D2C3F9E09290}" name="Target Max Diesel (L)" dataDxfId="409">
      <calculatedColumnFormula>ROUNDDOWN(tbl_RACRL_Multi[[#This Row],[Target Max Energy (MJ)]]*tbl_RACRL_Multi[[Diesel (%)]:[Diesel (%)]]/tbl_RACRL_Multi[[CFdiesel]:[CFdiesel]],0)</calculatedColumnFormula>
    </tableColumn>
    <tableColumn id="182" xr3:uid="{3DA85FFE-E76B-4FE1-AFF4-C4E728E74CD8}" name="Target Max LPG (MJ)" dataDxfId="408">
      <calculatedColumnFormula>ROUNDDOWN(tbl_RACRL_Multi[[#This Row],[Target Max Energy (MJ)]]*tbl_RACRL_Multi[[LPG (%)]:[LPG (%)]],0)</calculatedColumnFormula>
    </tableColumn>
    <tableColumn id="252" xr3:uid="{89B09D89-34F4-4AE2-AEB1-CFDFA7F2C5A6}" name="Target Scopes 1,2&amp;3" dataDxfId="407">
      <calculatedColumnFormula>SUM(tbl_RACRL_Multi[[#This Row],[Target Max Elec (kWh)]]*tbl_RACRL_Multi[[#This Row],[SGEe Scopes 1,2&amp;3]],
tbl_RACRL_Multi[[#This Row],[Target Max Gas (MJ)]]*tbl_RACRL_Multi[[#This Row],[SGEg Scopes 1,2&amp;3]],
tbl_RACRL_Multi[[#This Row],[Target Max LPG (L)]]*tbl_RACRL_Multi[[#This Row],[SGEl Scopes 1,2&amp;3]],
tbl_RACRL_Multi[[#This Row],[Target Max Diesel (L)]]*tbl_RACRL_Multi[[#This Row],[SGEd Scopes 1,2&amp;3]])</calculatedColumnFormula>
    </tableColumn>
    <tableColumn id="253" xr3:uid="{19A1B439-6607-43DB-825B-BA70917043FA}" name="Target Scopes 1&amp;2" dataDxfId="406">
      <calculatedColumnFormula>SUM(tbl_RACRL_Multi[[#This Row],[Target Max Elec (kWh)]]*tbl_RACRL_Multi[[#This Row],[SGEe Scopes 1&amp;2]],
tbl_RACRL_Multi[[#This Row],[Target Max Gas (MJ)]]*tbl_RACRL_Multi[[#This Row],[SGEg Scopes 1&amp;2]],
tbl_RACRL_Multi[[#This Row],[Target Max LPG (L)]]*tbl_RACRL_Multi[[#This Row],[SGEl Scopes 1&amp;2]],
tbl_RACRL_Multi[[#This Row],[Target Max Diesel (L)]]*tbl_RACRL_Multi[[#This Row],[SGEd Scopes 1&amp;2]])</calculatedColumnFormula>
    </tableColumn>
    <tableColumn id="191" xr3:uid="{78F30779-6C7E-41CB-BA24-A797475821CA}" name="Predicted Water" dataDxfId="405">
      <calculatedColumnFormula>tbl_RACRL_Multi[[#This Row],[Bw]]*tbl_RACRL_Multi[[#This Row],[Site Area]]</calculatedColumnFormula>
    </tableColumn>
    <tableColumn id="254" xr3:uid="{58680B88-B99C-408E-8848-DE3CABD1E201}" name="Target Max Water BF" dataDxfId="404">
      <calculatedColumnFormula>(7.001-tbl_RACRL_Multi[[#This Row],[Target Water]])/(3.5018)</calculatedColumnFormula>
    </tableColumn>
    <tableColumn id="255" xr3:uid="{C91813A5-720A-4188-BB67-D587D349B188}" name="Target Max Water (kL)" dataDxfId="403">
      <calculatedColumnFormula>ROUNDDOWN(tbl_RACRL_Multi[[#This Row],[Target Max Water BF]]*tbl_RACRL_Multi[[#This Row],[Bw]],0)</calculatedColumnFormula>
    </tableColumn>
    <tableColumn id="47" xr3:uid="{0D64D805-1E05-45B4-BBED-3F784F6307B7}" name="Target Max Water Intensity" dataDxfId="402">
      <calculatedColumnFormula>tbl_RACRL_Multi[[#This Row],[Target Max Water (kL)]]/IF(tbl_RACRL_Multi[[#This Row],[Rating Type]]="Residential Aged Care",tbl_RACRL_Multi[[#This Row],[OBD]],tbl_RACRL_Multi[[#This Row],[Site Area]])</calculatedColumnFormula>
    </tableColumn>
    <tableColumn id="64" xr3:uid="{DA084909-708D-4DD2-AFB1-11CC67D35F60}" name="6.0* Max BF" dataDxfId="401">
      <calculatedColumnFormula>(7.001-(LEFT(tbl_RACRL_Multi[[#Headers],[6.0* Max BF]],3)))/3.5018</calculatedColumnFormula>
    </tableColumn>
    <tableColumn id="65" xr3:uid="{4E0076AA-56A9-4E51-804D-73AB7E13D2A6}" name="5.5* Max BF" dataDxfId="400">
      <calculatedColumnFormula>(7.001-(LEFT(tbl_RACRL_Multi[[#Headers],[5.5* Max BF]],3)))/3.5018</calculatedColumnFormula>
    </tableColumn>
    <tableColumn id="66" xr3:uid="{A8374A52-F3F3-47CD-986D-93449F4CA6DC}" name="5.0* Max BF" dataDxfId="399">
      <calculatedColumnFormula>(7.001-(LEFT(tbl_RACRL_Multi[[#Headers],[5.0* Max BF]],3)))/3.5018</calculatedColumnFormula>
    </tableColumn>
    <tableColumn id="67" xr3:uid="{A2709BDC-F420-465B-B4B3-DD8B074C4F45}" name="4.5* Max BF" dataDxfId="398">
      <calculatedColumnFormula>(7.001-(LEFT(tbl_RACRL_Multi[[#Headers],[4.5* Max BF]],3)))/3.5018</calculatedColumnFormula>
    </tableColumn>
    <tableColumn id="68" xr3:uid="{6A63FAD3-4551-4765-AEF6-E1DC8F97AC9A}" name="4.0* Max BF" dataDxfId="397">
      <calculatedColumnFormula>(7.001-(LEFT(tbl_RACRL_Multi[[#Headers],[4.0* Max BF]],3)))/3.5018</calculatedColumnFormula>
    </tableColumn>
    <tableColumn id="69" xr3:uid="{EC40157F-1385-426F-A7AF-8670C3141E5D}" name="3.5* Max BF" dataDxfId="396">
      <calculatedColumnFormula>(7.001-(LEFT(tbl_RACRL_Multi[[#Headers],[3.5* Max BF]],3)))/3.5018</calculatedColumnFormula>
    </tableColumn>
    <tableColumn id="70" xr3:uid="{D8EDE937-D602-414F-9C0D-BBE9F9FE7D84}" name="3.0* Max BF" dataDxfId="395">
      <calculatedColumnFormula>(7.001-(LEFT(tbl_RACRL_Multi[[#Headers],[3.0* Max BF]],3)))/3.5018</calculatedColumnFormula>
    </tableColumn>
    <tableColumn id="71" xr3:uid="{8F565500-135A-48B1-8E45-5E9D0434B417}" name="2.5* Max BF" dataDxfId="394">
      <calculatedColumnFormula>(7.001-(LEFT(tbl_RACRL_Multi[[#Headers],[2.5* Max BF]],3)))/3.5018</calculatedColumnFormula>
    </tableColumn>
    <tableColumn id="72" xr3:uid="{52D34A1D-94F2-4A65-8203-2B237CE69C24}" name="2.0* Max BF" dataDxfId="393">
      <calculatedColumnFormula>(7.001-(LEFT(tbl_RACRL_Multi[[#Headers],[2.0* Max BF]],3)))/3.5018</calculatedColumnFormula>
    </tableColumn>
    <tableColumn id="73" xr3:uid="{99A22678-A85F-4030-8C51-F3613C6DEDDE}" name="1.5* Max BF" dataDxfId="392">
      <calculatedColumnFormula>(7.001-(LEFT(tbl_RACRL_Multi[[#Headers],[1.5* Max BF]],3)))/3.5018</calculatedColumnFormula>
    </tableColumn>
    <tableColumn id="74" xr3:uid="{0D977527-387A-49CC-8536-3214897F2737}" name="1.0* Max BF" dataDxfId="391">
      <calculatedColumnFormula>(7.001-(LEFT(tbl_RACRL_Multi[[#Headers],[1.0* Max BF]],3)))/3.5018</calculatedColumnFormula>
    </tableColumn>
    <tableColumn id="205" xr3:uid="{1AED6B82-08B6-45B1-93EA-4E42F8A55D4F}" name="0.0* Max BF" dataDxfId="390">
      <calculatedColumnFormula>(7.001-(LEFT(tbl_RACRL_Multi[[#Headers],[0.0* Max BF]],3)))/3.5018</calculatedColumnFormula>
    </tableColumn>
    <tableColumn id="86" xr3:uid="{34DF750D-8158-4DDA-A92F-4B78FA998BF2}" name="6.0* Max CO2" dataDxfId="389">
      <calculatedColumnFormula>tbl_RACRL_Multi[[#This Row],[6.0* Max BF]]*tbl_RACRL_Multi[[Beadj]:[Beadj]]</calculatedColumnFormula>
    </tableColumn>
    <tableColumn id="87" xr3:uid="{B1F3414F-4D7E-4C3A-876C-D358C2B46B4A}" name="5.5* Max CO2" dataDxfId="388">
      <calculatedColumnFormula>tbl_RACRL_Multi[[#This Row],[5.5* Max BF]]*tbl_RACRL_Multi[[Beadj]:[Beadj]]</calculatedColumnFormula>
    </tableColumn>
    <tableColumn id="88" xr3:uid="{34613E73-DF6C-4F10-A4E7-53AAD1DCB0C0}" name="5.0* Max CO2" dataDxfId="387">
      <calculatedColumnFormula>tbl_RACRL_Multi[[#This Row],[5.0* Max BF]]*tbl_RACRL_Multi[[Beadj]:[Beadj]]</calculatedColumnFormula>
    </tableColumn>
    <tableColumn id="89" xr3:uid="{CF1585E4-0ECD-4A10-822B-E5247184E92E}" name="4.5* Max CO2" dataDxfId="386">
      <calculatedColumnFormula>tbl_RACRL_Multi[[#This Row],[4.5* Max BF]]*tbl_RACRL_Multi[[Beadj]:[Beadj]]</calculatedColumnFormula>
    </tableColumn>
    <tableColumn id="90" xr3:uid="{BF5E1BD8-2D0C-4F44-8DB2-E44657CC254D}" name="4.0* Max CO2" dataDxfId="385">
      <calculatedColumnFormula>tbl_RACRL_Multi[[#This Row],[4.0* Max BF]]*tbl_RACRL_Multi[[Beadj]:[Beadj]]</calculatedColumnFormula>
    </tableColumn>
    <tableColumn id="91" xr3:uid="{308E9CFC-BCF9-4EBD-9E70-CFA72FB4110E}" name="3.5* Max CO2" dataDxfId="384">
      <calculatedColumnFormula>tbl_RACRL_Multi[[#This Row],[3.5* Max BF]]*tbl_RACRL_Multi[[Beadj]:[Beadj]]</calculatedColumnFormula>
    </tableColumn>
    <tableColumn id="92" xr3:uid="{0308EDE5-B716-406B-8209-98445F754D3D}" name="3.0* Max CO2" dataDxfId="383">
      <calculatedColumnFormula>tbl_RACRL_Multi[[#This Row],[3.0* Max BF]]*tbl_RACRL_Multi[[Beadj]:[Beadj]]</calculatedColumnFormula>
    </tableColumn>
    <tableColumn id="93" xr3:uid="{A6486668-B27D-42E4-9550-B6F7B89D9EA7}" name="2.5* Max CO2" dataDxfId="382">
      <calculatedColumnFormula>tbl_RACRL_Multi[[#This Row],[2.5* Max BF]]*tbl_RACRL_Multi[[Beadj]:[Beadj]]</calculatedColumnFormula>
    </tableColumn>
    <tableColumn id="94" xr3:uid="{1346D891-DD8F-4150-8F50-0EF008CF9E55}" name="2.0* Max CO2" dataDxfId="381">
      <calculatedColumnFormula>tbl_RACRL_Multi[[#This Row],[2.0* Max BF]]*tbl_RACRL_Multi[[Beadj]:[Beadj]]</calculatedColumnFormula>
    </tableColumn>
    <tableColumn id="95" xr3:uid="{144B7A7E-97EC-4928-AF2A-6560E56B732A}" name="1.5* Max CO2" dataDxfId="380">
      <calculatedColumnFormula>tbl_RACRL_Multi[[#This Row],[1.5* Max BF]]*tbl_RACRL_Multi[[Beadj]:[Beadj]]</calculatedColumnFormula>
    </tableColumn>
    <tableColumn id="96" xr3:uid="{9538E5AB-6F53-4916-AA2F-8AF1E5FC1DE9}" name="1.0* Max CO2" dataDxfId="379">
      <calculatedColumnFormula>tbl_RACRL_Multi[[#This Row],[1.0* Max BF]]*tbl_RACRL_Multi[[Beadj]:[Beadj]]</calculatedColumnFormula>
    </tableColumn>
    <tableColumn id="204" xr3:uid="{854D391C-C1F5-4AFA-870E-291FB410D52B}" name="0.0* Max CO2" dataDxfId="378">
      <calculatedColumnFormula>tbl_RACRL_Multi[[#This Row],[0.0* Max BF]]*tbl_RACRL_Multi[[Beadj]:[Beadj]]</calculatedColumnFormula>
    </tableColumn>
    <tableColumn id="155" xr3:uid="{6E96373A-2577-470F-9698-7BA5B05C5B50}" name="6.0* Max Energy (MJ)" dataDxfId="377">
      <calculatedColumnFormula>tbl_RACRL_Multi[[#This Row],[6.0* Max CO2]]/tbl_RACRL_Multi[[EffGHG]:[EffGHG]]</calculatedColumnFormula>
    </tableColumn>
    <tableColumn id="156" xr3:uid="{71B0561B-D5F8-4A2B-ABFF-6B94C0308451}" name="5.5* Max Energy (MJ)" dataDxfId="376">
      <calculatedColumnFormula>tbl_RACRL_Multi[[#This Row],[5.5* Max CO2]]/tbl_RACRL_Multi[[EffGHG]:[EffGHG]]</calculatedColumnFormula>
    </tableColumn>
    <tableColumn id="157" xr3:uid="{D475CFF0-B832-42AD-8051-F1ECAB3B42F1}" name="5.0* Max Energy (MJ)" dataDxfId="375">
      <calculatedColumnFormula>tbl_RACRL_Multi[[#This Row],[5.0* Max CO2]]/tbl_RACRL_Multi[[EffGHG]:[EffGHG]]</calculatedColumnFormula>
    </tableColumn>
    <tableColumn id="158" xr3:uid="{61952ED0-364B-41CF-A188-492EB8AA662C}" name="4.5* Max Energy (MJ)" dataDxfId="374">
      <calculatedColumnFormula>tbl_RACRL_Multi[[#This Row],[4.5* Max CO2]]/tbl_RACRL_Multi[[EffGHG]:[EffGHG]]</calculatedColumnFormula>
    </tableColumn>
    <tableColumn id="159" xr3:uid="{1909FC47-F412-47B1-BE80-561CB2BFC5D1}" name="4.0* Max Energy (MJ)" dataDxfId="373">
      <calculatedColumnFormula>tbl_RACRL_Multi[[#This Row],[4.0* Max CO2]]/tbl_RACRL_Multi[[EffGHG]:[EffGHG]]</calculatedColumnFormula>
    </tableColumn>
    <tableColumn id="160" xr3:uid="{8D97FF52-19C9-40C9-AEFE-55D157F32B58}" name="3.5* Max Energy (MJ)" dataDxfId="372">
      <calculatedColumnFormula>tbl_RACRL_Multi[[#This Row],[3.5* Max CO2]]/tbl_RACRL_Multi[[EffGHG]:[EffGHG]]</calculatedColumnFormula>
    </tableColumn>
    <tableColumn id="161" xr3:uid="{FCE31F5B-7525-432C-B655-92D7730042B1}" name="3.0* Max Energy (MJ)" dataDxfId="371">
      <calculatedColumnFormula>tbl_RACRL_Multi[[#This Row],[3.0* Max CO2]]/tbl_RACRL_Multi[[EffGHG]:[EffGHG]]</calculatedColumnFormula>
    </tableColumn>
    <tableColumn id="162" xr3:uid="{B9DE2C62-DD6C-4CB1-A58F-D8FD6F72292E}" name="2.5* Max Energy (MJ)" dataDxfId="370">
      <calculatedColumnFormula>tbl_RACRL_Multi[[#This Row],[2.5* Max CO2]]/tbl_RACRL_Multi[[EffGHG]:[EffGHG]]</calculatedColumnFormula>
    </tableColumn>
    <tableColumn id="163" xr3:uid="{3464328D-B7DC-4480-9F00-657615646A2C}" name="2.0* Max Energy (MJ)" dataDxfId="369">
      <calculatedColumnFormula>tbl_RACRL_Multi[[#This Row],[2.0* Max CO2]]/tbl_RACRL_Multi[[EffGHG]:[EffGHG]]</calculatedColumnFormula>
    </tableColumn>
    <tableColumn id="164" xr3:uid="{82EEB0A1-5D76-4842-865D-ACFED0320883}" name="1.5* Max Energy (MJ)" dataDxfId="368">
      <calculatedColumnFormula>tbl_RACRL_Multi[[#This Row],[1.5* Max CO2]]/tbl_RACRL_Multi[[EffGHG]:[EffGHG]]</calculatedColumnFormula>
    </tableColumn>
    <tableColumn id="165" xr3:uid="{B8BA3310-F52F-40B1-82FC-BDF99A53B512}" name="1.0* Max Energy (MJ)" dataDxfId="367">
      <calculatedColumnFormula>tbl_RACRL_Multi[[#This Row],[1.0* Max CO2]]/tbl_RACRL_Multi[[EffGHG]:[EffGHG]]</calculatedColumnFormula>
    </tableColumn>
    <tableColumn id="192" xr3:uid="{40A750F9-2734-4020-863A-864E8139BAAF}" name="0.0* Max Energy (MJ)" dataDxfId="366">
      <calculatedColumnFormula>tbl_RACRL_Multi[[#This Row],[0.0* Max CO2]]/tbl_RACRL_Multi[[EffGHG]:[EffGHG]]</calculatedColumnFormula>
    </tableColumn>
    <tableColumn id="97" xr3:uid="{C98E7E93-2E6B-42AA-A9DC-F3F59C96A4B0}" name="6.0* Max Elec (kWh)" dataDxfId="365">
      <calculatedColumnFormula>ROUNDDOWN(tbl_RACRL_Multi[[#This Row],[6.0* Max Energy (MJ)]]*tbl_RACRL_Multi[[Electricity (%)]:[Electricity (%)]]/tbl_RACRL_Multi[[CFelec]:[CFelec]],0)</calculatedColumnFormula>
    </tableColumn>
    <tableColumn id="98" xr3:uid="{58C239FA-FFC6-480E-B58B-5A4665D7EA5B}" name="5.5* Max Elec (kWh)" dataDxfId="364">
      <calculatedColumnFormula>ROUNDDOWN(tbl_RACRL_Multi[[#This Row],[5.5* Max Energy (MJ)]]*tbl_RACRL_Multi[[Electricity (%)]:[Electricity (%)]]/tbl_RACRL_Multi[[CFelec]:[CFelec]],0)</calculatedColumnFormula>
    </tableColumn>
    <tableColumn id="99" xr3:uid="{EC26BB16-ED92-48C9-8C59-11A038AACD32}" name="5.0* Max Elec (kWh)" dataDxfId="363">
      <calculatedColumnFormula>ROUNDDOWN(tbl_RACRL_Multi[[#This Row],[5.0* Max Energy (MJ)]]*tbl_RACRL_Multi[[Electricity (%)]:[Electricity (%)]]/tbl_RACRL_Multi[[CFelec]:[CFelec]],0)</calculatedColumnFormula>
    </tableColumn>
    <tableColumn id="100" xr3:uid="{CC80C202-9304-45C2-9371-C9AF62D5CB85}" name="4.5* Max Elec (kWh)" dataDxfId="362">
      <calculatedColumnFormula>ROUNDDOWN(tbl_RACRL_Multi[[#This Row],[4.5* Max Energy (MJ)]]*tbl_RACRL_Multi[[Electricity (%)]:[Electricity (%)]]/tbl_RACRL_Multi[[CFelec]:[CFelec]],0)</calculatedColumnFormula>
    </tableColumn>
    <tableColumn id="101" xr3:uid="{8533E7DB-14F6-41C8-AB98-147BB06E4D9A}" name="4.0* Max Elec (kWh)" dataDxfId="361">
      <calculatedColumnFormula>ROUNDDOWN(tbl_RACRL_Multi[[#This Row],[4.0* Max Energy (MJ)]]*tbl_RACRL_Multi[[Electricity (%)]:[Electricity (%)]]/tbl_RACRL_Multi[[CFelec]:[CFelec]],0)</calculatedColumnFormula>
    </tableColumn>
    <tableColumn id="102" xr3:uid="{F4D7B959-229E-4715-B15C-AA9E8B042D7B}" name="3.5* Max Elec (kWh)" dataDxfId="360">
      <calculatedColumnFormula>ROUNDDOWN(tbl_RACRL_Multi[[#This Row],[3.5* Max Energy (MJ)]]*tbl_RACRL_Multi[[Electricity (%)]:[Electricity (%)]]/tbl_RACRL_Multi[[CFelec]:[CFelec]],0)</calculatedColumnFormula>
    </tableColumn>
    <tableColumn id="103" xr3:uid="{80E8E059-F346-425A-A94D-5FE555557D5D}" name="3.0* Max Elec (kWh)" dataDxfId="359">
      <calculatedColumnFormula>ROUNDDOWN(tbl_RACRL_Multi[[#This Row],[3.0* Max Energy (MJ)]]*tbl_RACRL_Multi[[Electricity (%)]:[Electricity (%)]]/tbl_RACRL_Multi[[CFelec]:[CFelec]],0)</calculatedColumnFormula>
    </tableColumn>
    <tableColumn id="104" xr3:uid="{8417D26A-49A9-436E-B999-DB38AF344A04}" name="2.5* Max Elec (kWh)" dataDxfId="358">
      <calculatedColumnFormula>ROUNDDOWN(tbl_RACRL_Multi[[#This Row],[2.5* Max Energy (MJ)]]*tbl_RACRL_Multi[[Electricity (%)]:[Electricity (%)]]/tbl_RACRL_Multi[[CFelec]:[CFelec]],0)</calculatedColumnFormula>
    </tableColumn>
    <tableColumn id="105" xr3:uid="{C3A4F66A-8572-4870-B804-82DCA265928C}" name="2.0* Max Elec (kWh)" dataDxfId="357">
      <calculatedColumnFormula>ROUNDDOWN(tbl_RACRL_Multi[[#This Row],[2.0* Max Energy (MJ)]]*tbl_RACRL_Multi[[Electricity (%)]:[Electricity (%)]]/tbl_RACRL_Multi[[CFelec]:[CFelec]],0)</calculatedColumnFormula>
    </tableColumn>
    <tableColumn id="106" xr3:uid="{367A0677-4ADB-48DE-ABC9-E1CC4F5BFA5C}" name="1.5* Max Elec (kWh)" dataDxfId="356">
      <calculatedColumnFormula>ROUNDDOWN(tbl_RACRL_Multi[[#This Row],[1.5* Max Energy (MJ)]]*tbl_RACRL_Multi[[Electricity (%)]:[Electricity (%)]]/tbl_RACRL_Multi[[CFelec]:[CFelec]],0)</calculatedColumnFormula>
    </tableColumn>
    <tableColumn id="107" xr3:uid="{39E56F75-54A8-483F-A914-A99A9C6EF9E6}" name="1.0* Max Elec (kWh)" dataDxfId="355">
      <calculatedColumnFormula>ROUNDDOWN(tbl_RACRL_Multi[[#This Row],[1.0* Max Energy (MJ)]]*tbl_RACRL_Multi[[Electricity (%)]:[Electricity (%)]]/tbl_RACRL_Multi[[CFelec]:[CFelec]],0)</calculatedColumnFormula>
    </tableColumn>
    <tableColumn id="188" xr3:uid="{0C0BA4A0-5C06-441D-A655-1E89088CF009}" name="0.0* Max Elec (kWh)" dataDxfId="354">
      <calculatedColumnFormula>ROUNDDOWN(tbl_RACRL_Multi[[#This Row],[0.0* Max Energy (MJ)]]*tbl_RACRL_Multi[[Electricity (%)]:[Electricity (%)]]/tbl_RACRL_Multi[[CFelec]:[CFelec]],0)</calculatedColumnFormula>
    </tableColumn>
    <tableColumn id="108" xr3:uid="{2DF49594-5C6F-4F42-A1DB-671E9D434908}" name="6.0* Max Gas (MJ)" dataDxfId="353">
      <calculatedColumnFormula>ROUNDDOWN(tbl_RACRL_Multi[[#This Row],[6.0* Max Energy (MJ)]]*tbl_RACRL_Multi[[Gas (%)]:[Gas (%)]],0)</calculatedColumnFormula>
    </tableColumn>
    <tableColumn id="109" xr3:uid="{A5026318-45D0-4450-98BA-B879F77BF79C}" name="5.5* Max Gas (MJ)" dataDxfId="352">
      <calculatedColumnFormula>ROUNDDOWN(tbl_RACRL_Multi[[#This Row],[5.5* Max Energy (MJ)]]*tbl_RACRL_Multi[[Gas (%)]:[Gas (%)]],0)</calculatedColumnFormula>
    </tableColumn>
    <tableColumn id="110" xr3:uid="{C00A699A-E094-4057-A468-AA4789EBEAB1}" name="5.0* Max Gas (MJ)" dataDxfId="351">
      <calculatedColumnFormula>ROUNDDOWN(tbl_RACRL_Multi[[#This Row],[5.0* Max Energy (MJ)]]*tbl_RACRL_Multi[[Gas (%)]:[Gas (%)]],0)</calculatedColumnFormula>
    </tableColumn>
    <tableColumn id="111" xr3:uid="{78C9E8D9-E22F-4744-9CEA-992DD2D423D9}" name="4.5* Max Gas (MJ)" dataDxfId="350">
      <calculatedColumnFormula>ROUNDDOWN(tbl_RACRL_Multi[[#This Row],[4.5* Max Energy (MJ)]]*tbl_RACRL_Multi[[Gas (%)]:[Gas (%)]],0)</calculatedColumnFormula>
    </tableColumn>
    <tableColumn id="112" xr3:uid="{F1E679CE-66CA-4B63-BE85-C914766968E3}" name="4.0* Max Gas (MJ)" dataDxfId="349">
      <calculatedColumnFormula>ROUNDDOWN(tbl_RACRL_Multi[[#This Row],[4.0* Max Energy (MJ)]]*tbl_RACRL_Multi[[Gas (%)]:[Gas (%)]],0)</calculatedColumnFormula>
    </tableColumn>
    <tableColumn id="113" xr3:uid="{872F873D-3998-480B-8286-902ECF332558}" name="3.5* Max Gas (MJ)" dataDxfId="348">
      <calculatedColumnFormula>ROUNDDOWN(tbl_RACRL_Multi[[#This Row],[3.5* Max Energy (MJ)]]*tbl_RACRL_Multi[[Gas (%)]:[Gas (%)]],0)</calculatedColumnFormula>
    </tableColumn>
    <tableColumn id="114" xr3:uid="{BABDC496-C7DA-42BB-B7AC-638DE60700DE}" name="3.0* Max Gas (MJ)" dataDxfId="347">
      <calculatedColumnFormula>ROUNDDOWN(tbl_RACRL_Multi[[#This Row],[3.0* Max Energy (MJ)]]*tbl_RACRL_Multi[[Gas (%)]:[Gas (%)]],0)</calculatedColumnFormula>
    </tableColumn>
    <tableColumn id="115" xr3:uid="{94656AF1-35BB-46EF-8BB7-5E6DCCBFC23A}" name="2.5* Max Gas (MJ)" dataDxfId="346">
      <calculatedColumnFormula>ROUNDDOWN(tbl_RACRL_Multi[[#This Row],[2.5* Max Energy (MJ)]]*tbl_RACRL_Multi[[Gas (%)]:[Gas (%)]],0)</calculatedColumnFormula>
    </tableColumn>
    <tableColumn id="116" xr3:uid="{8F7D93CB-429D-44EB-A36A-7206AA0EEE62}" name="2.0* Max Gas (MJ)" dataDxfId="345">
      <calculatedColumnFormula>ROUNDDOWN(tbl_RACRL_Multi[[#This Row],[2.0* Max Energy (MJ)]]*tbl_RACRL_Multi[[Gas (%)]:[Gas (%)]],0)</calculatedColumnFormula>
    </tableColumn>
    <tableColumn id="117" xr3:uid="{803BD0C1-BC02-4C96-B2E7-B7DF36B8B051}" name="1.5* Max Gas (MJ)" dataDxfId="344">
      <calculatedColumnFormula>ROUNDDOWN(tbl_RACRL_Multi[[#This Row],[1.5* Max Energy (MJ)]]*tbl_RACRL_Multi[[Gas (%)]:[Gas (%)]],0)</calculatedColumnFormula>
    </tableColumn>
    <tableColumn id="118" xr3:uid="{38AECB14-F29A-46DE-A83A-A33F3AC88007}" name="1.0* Max Gas (MJ)" dataDxfId="343">
      <calculatedColumnFormula>ROUNDDOWN(tbl_RACRL_Multi[[#This Row],[1.0* Max Energy (MJ)]]*tbl_RACRL_Multi[[Gas (%)]:[Gas (%)]],0)</calculatedColumnFormula>
    </tableColumn>
    <tableColumn id="186" xr3:uid="{75935A62-4DFB-487A-85F3-3DA0E8C3999C}" name="0.0* Max Gas (MJ)" dataDxfId="342">
      <calculatedColumnFormula>ROUNDDOWN(tbl_RACRL_Multi[[#This Row],[0.0* Max Energy (MJ)]]*tbl_RACRL_Multi[[Gas (%)]:[Gas (%)]],0)</calculatedColumnFormula>
    </tableColumn>
    <tableColumn id="77" xr3:uid="{BE759F71-C8EC-404F-9CDD-DCFBDCE5D8A7}" name="6.0* Max LPG (L)" dataDxfId="341">
      <calculatedColumnFormula>ROUNDDOWN(tbl_RACRL_Multi[[#This Row],[6.0* Max Energy (MJ)]]*tbl_RACRL_Multi[[LPG (%)]:[LPG (%)]]/tbl_RACRL_Multi[[CFlpg]:[CFlpg]],0)</calculatedColumnFormula>
    </tableColumn>
    <tableColumn id="78" xr3:uid="{8F708690-E1BF-4048-A320-3A1A84E4BCCB}" name="5.5* Max LPG (L)" dataDxfId="340">
      <calculatedColumnFormula>ROUNDDOWN(tbl_RACRL_Multi[[#This Row],[5.5* Max Energy (MJ)]]*tbl_RACRL_Multi[[LPG (%)]:[LPG (%)]]/tbl_RACRL_Multi[[CFlpg]:[CFlpg]],0)</calculatedColumnFormula>
    </tableColumn>
    <tableColumn id="79" xr3:uid="{5C6647AA-3B4F-4467-B023-0ADF55AF27D6}" name="5.0* Max LPG (L)" dataDxfId="339">
      <calculatedColumnFormula>ROUNDDOWN(tbl_RACRL_Multi[[#This Row],[5.0* Max Energy (MJ)]]*tbl_RACRL_Multi[[LPG (%)]:[LPG (%)]]/tbl_RACRL_Multi[[CFlpg]:[CFlpg]],0)</calculatedColumnFormula>
    </tableColumn>
    <tableColumn id="80" xr3:uid="{50E4E420-5358-4B00-8BD4-18C762D5D537}" name="4.5* Max LPG (L)" dataDxfId="338">
      <calculatedColumnFormula>ROUNDDOWN(tbl_RACRL_Multi[[#This Row],[4.5* Max Energy (MJ)]]*tbl_RACRL_Multi[[LPG (%)]:[LPG (%)]]/tbl_RACRL_Multi[[CFlpg]:[CFlpg]],0)</calculatedColumnFormula>
    </tableColumn>
    <tableColumn id="81" xr3:uid="{BF092CCF-C4FE-40C5-A018-CFB2F962F51D}" name="4.0* Max LPG (L)" dataDxfId="337">
      <calculatedColumnFormula>ROUNDDOWN(tbl_RACRL_Multi[[#This Row],[4.0* Max Energy (MJ)]]*tbl_RACRL_Multi[[LPG (%)]:[LPG (%)]]/tbl_RACRL_Multi[[CFlpg]:[CFlpg]],0)</calculatedColumnFormula>
    </tableColumn>
    <tableColumn id="82" xr3:uid="{87D95EE9-41E0-4799-A1ED-7D7094132993}" name="3.5* Max LPG (L)" dataDxfId="336">
      <calculatedColumnFormula>ROUNDDOWN(tbl_RACRL_Multi[[#This Row],[3.5* Max Energy (MJ)]]*tbl_RACRL_Multi[[LPG (%)]:[LPG (%)]]/tbl_RACRL_Multi[[CFlpg]:[CFlpg]],0)</calculatedColumnFormula>
    </tableColumn>
    <tableColumn id="83" xr3:uid="{AB46907F-4C6A-4BD4-98C3-C096E30E0643}" name="3.0* Max LPG (L)" dataDxfId="335">
      <calculatedColumnFormula>ROUNDDOWN(tbl_RACRL_Multi[[#This Row],[3.0* Max Energy (MJ)]]*tbl_RACRL_Multi[[LPG (%)]:[LPG (%)]]/tbl_RACRL_Multi[[CFlpg]:[CFlpg]],0)</calculatedColumnFormula>
    </tableColumn>
    <tableColumn id="84" xr3:uid="{5F690C0B-A128-4B66-982B-4B40BDA89FC5}" name="2.5* Max LPG (L)" dataDxfId="334">
      <calculatedColumnFormula>ROUNDDOWN(tbl_RACRL_Multi[[#This Row],[2.5* Max Energy (MJ)]]*tbl_RACRL_Multi[[LPG (%)]:[LPG (%)]]/tbl_RACRL_Multi[[CFlpg]:[CFlpg]],0)</calculatedColumnFormula>
    </tableColumn>
    <tableColumn id="85" xr3:uid="{74555CB2-BABF-42A9-AD03-C944D92DAAF7}" name="2.0* Max LPG (L)" dataDxfId="333">
      <calculatedColumnFormula>ROUNDDOWN(tbl_RACRL_Multi[[#This Row],[2.0* Max Energy (MJ)]]*tbl_RACRL_Multi[[LPG (%)]:[LPG (%)]]/tbl_RACRL_Multi[[CFlpg]:[CFlpg]],0)</calculatedColumnFormula>
    </tableColumn>
    <tableColumn id="132" xr3:uid="{B80BD149-812D-482C-AF6A-6EFD476E2A63}" name="1.5* Max LPG (L)" dataDxfId="332">
      <calculatedColumnFormula>ROUNDDOWN(tbl_RACRL_Multi[[#This Row],[1.5* Max Energy (MJ)]]*tbl_RACRL_Multi[[LPG (%)]:[LPG (%)]]/tbl_RACRL_Multi[[CFlpg]:[CFlpg]],0)</calculatedColumnFormula>
    </tableColumn>
    <tableColumn id="170" xr3:uid="{84F28F9A-BEDA-4C38-869F-DDED6A9356C3}" name="1.0* Max LPG (L)" dataDxfId="331">
      <calculatedColumnFormula>ROUNDDOWN(tbl_RACRL_Multi[[#This Row],[1.0* Max Energy (MJ)]]*tbl_RACRL_Multi[[LPG (%)]:[LPG (%)]]/tbl_RACRL_Multi[[CFlpg]:[CFlpg]],0)</calculatedColumnFormula>
    </tableColumn>
    <tableColumn id="185" xr3:uid="{6A582A76-41DE-4BCC-9985-8C527D72F39D}" name="0.0* Max LPG (L)" dataDxfId="330">
      <calculatedColumnFormula>ROUNDDOWN(tbl_RACRL_Multi[[#This Row],[0.0* Max Energy (MJ)]]*tbl_RACRL_Multi[[LPG (%)]:[LPG (%)]]/tbl_RACRL_Multi[[CFlpg]:[CFlpg]],0)</calculatedColumnFormula>
    </tableColumn>
    <tableColumn id="119" xr3:uid="{AD117700-EED3-4FC9-88AA-035B44BBB2BA}" name="6.0* Max Diesel (L)" dataDxfId="329">
      <calculatedColumnFormula>ROUNDDOWN(tbl_RACRL_Multi[[#This Row],[6.0* Max Energy (MJ)]]*tbl_RACRL_Multi[[Diesel (%)]:[Diesel (%)]]/tbl_RACRL_Multi[[CFdiesel]:[CFdiesel]],0)</calculatedColumnFormula>
    </tableColumn>
    <tableColumn id="120" xr3:uid="{AB6D4EE3-0B56-4C3F-8BD1-EB89DD52C9C6}" name="5.5* Max Diesel (L)" dataDxfId="328">
      <calculatedColumnFormula>ROUNDDOWN(tbl_RACRL_Multi[[#This Row],[5.5* Max Energy (MJ)]]*tbl_RACRL_Multi[[Diesel (%)]:[Diesel (%)]]/tbl_RACRL_Multi[[CFdiesel]:[CFdiesel]],0)</calculatedColumnFormula>
    </tableColumn>
    <tableColumn id="121" xr3:uid="{E5BD8CE3-81F5-4886-8B65-C7B75083727C}" name="5.0* Max Diesel (L)" dataDxfId="327">
      <calculatedColumnFormula>ROUNDDOWN(tbl_RACRL_Multi[[#This Row],[5.0* Max Energy (MJ)]]*tbl_RACRL_Multi[[Diesel (%)]:[Diesel (%)]]/tbl_RACRL_Multi[[CFdiesel]:[CFdiesel]],0)</calculatedColumnFormula>
    </tableColumn>
    <tableColumn id="122" xr3:uid="{DD5604B2-6EB5-4428-8A4E-DB265D44537E}" name="4.5* Max Diesel (L)" dataDxfId="326">
      <calculatedColumnFormula>ROUNDDOWN(tbl_RACRL_Multi[[#This Row],[4.5* Max Energy (MJ)]]*tbl_RACRL_Multi[[Diesel (%)]:[Diesel (%)]]/tbl_RACRL_Multi[[CFdiesel]:[CFdiesel]],0)</calculatedColumnFormula>
    </tableColumn>
    <tableColumn id="123" xr3:uid="{DC031E71-BBE5-470A-A699-6A427AE767CB}" name="4.0* Max Diesel (L)" dataDxfId="325">
      <calculatedColumnFormula>ROUNDDOWN(tbl_RACRL_Multi[[#This Row],[4.0* Max Energy (MJ)]]*tbl_RACRL_Multi[[Diesel (%)]:[Diesel (%)]]/tbl_RACRL_Multi[[CFdiesel]:[CFdiesel]],0)</calculatedColumnFormula>
    </tableColumn>
    <tableColumn id="124" xr3:uid="{E0BACB9E-D1B7-4D51-9624-B12863E7621C}" name="3.5* Max Diesel (L)" dataDxfId="324">
      <calculatedColumnFormula>ROUNDDOWN(tbl_RACRL_Multi[[#This Row],[3.5* Max Energy (MJ)]]*tbl_RACRL_Multi[[Diesel (%)]:[Diesel (%)]]/tbl_RACRL_Multi[[CFdiesel]:[CFdiesel]],0)</calculatedColumnFormula>
    </tableColumn>
    <tableColumn id="125" xr3:uid="{A7E2FF28-D1B9-48C7-B315-E22C32ED9BA2}" name="3.0* Max Diesel (L)" dataDxfId="323">
      <calculatedColumnFormula>ROUNDDOWN(tbl_RACRL_Multi[[#This Row],[3.0* Max Energy (MJ)]]*tbl_RACRL_Multi[[Diesel (%)]:[Diesel (%)]]/tbl_RACRL_Multi[[CFdiesel]:[CFdiesel]],0)</calculatedColumnFormula>
    </tableColumn>
    <tableColumn id="126" xr3:uid="{DDD98AC5-180B-48DE-ABBA-C6082B5739A4}" name="2.5* Max Diesel (L)" dataDxfId="322">
      <calculatedColumnFormula>ROUNDDOWN(tbl_RACRL_Multi[[#This Row],[2.5* Max Energy (MJ)]]*tbl_RACRL_Multi[[Diesel (%)]:[Diesel (%)]]/tbl_RACRL_Multi[[CFdiesel]:[CFdiesel]],0)</calculatedColumnFormula>
    </tableColumn>
    <tableColumn id="127" xr3:uid="{A8C2269C-2409-4A60-932C-C64F8FB78198}" name="2.0* Max Diesel (L)" dataDxfId="321">
      <calculatedColumnFormula>ROUNDDOWN(tbl_RACRL_Multi[[#This Row],[2.0* Max Energy (MJ)]]*tbl_RACRL_Multi[[Diesel (%)]:[Diesel (%)]]/tbl_RACRL_Multi[[CFdiesel]:[CFdiesel]],0)</calculatedColumnFormula>
    </tableColumn>
    <tableColumn id="128" xr3:uid="{868EAC8A-59E9-4034-BD23-BF40972E7883}" name="1.5* Max Diesel (L)" dataDxfId="320">
      <calculatedColumnFormula>ROUNDDOWN(tbl_RACRL_Multi[[#This Row],[1.5* Max Energy (MJ)]]*tbl_RACRL_Multi[[Diesel (%)]:[Diesel (%)]]/tbl_RACRL_Multi[[CFdiesel]:[CFdiesel]],0)</calculatedColumnFormula>
    </tableColumn>
    <tableColumn id="129" xr3:uid="{A8926FE7-C062-4266-90B7-0543959403B5}" name="1.0* Max Diesel (L)" dataDxfId="319">
      <calculatedColumnFormula>ROUNDDOWN(tbl_RACRL_Multi[[#This Row],[1.0* Max Energy (MJ)]]*tbl_RACRL_Multi[[Diesel (%)]:[Diesel (%)]]/tbl_RACRL_Multi[[CFdiesel]:[CFdiesel]],0)</calculatedColumnFormula>
    </tableColumn>
    <tableColumn id="184" xr3:uid="{B337EE55-BFDF-4B1B-B8CC-5DBD239CA5AA}" name="0.0* Max Diesel (L)" dataDxfId="318">
      <calculatedColumnFormula>ROUNDDOWN(tbl_RACRL_Multi[[#This Row],[0.0* Max Energy (MJ)]]*tbl_RACRL_Multi[[Diesel (%)]:[Diesel (%)]]/tbl_RACRL_Multi[[CFdiesel]:[CFdiesel]],0)</calculatedColumnFormula>
    </tableColumn>
    <tableColumn id="193" xr3:uid="{1625B17C-5647-4F72-953B-3CC09D720742}" name="6.0* Max Water (kL)" dataDxfId="317">
      <calculatedColumnFormula>ROUNDDOWN(tbl_RACRL_Multi[[#This Row],[6.0* Max BF]]*tbl_RACRL_Multi[[Bw]:[Bw]],0)</calculatedColumnFormula>
    </tableColumn>
    <tableColumn id="194" xr3:uid="{C8365C71-3357-439D-A37F-5EEDD21B56F1}" name="5.5* Max Water (kL)" dataDxfId="316">
      <calculatedColumnFormula>ROUNDDOWN(tbl_RACRL_Multi[[#This Row],[5.5* Max BF]]*tbl_RACRL_Multi[[Bw]:[Bw]],0)</calculatedColumnFormula>
    </tableColumn>
    <tableColumn id="195" xr3:uid="{C4C5821C-B6A7-48EB-BAAE-D7B3821EE95E}" name="5.0* Max Water (kL)" dataDxfId="315">
      <calculatedColumnFormula>ROUNDDOWN(tbl_RACRL_Multi[[#This Row],[5.0* Max BF]]*tbl_RACRL_Multi[[Bw]:[Bw]],0)</calculatedColumnFormula>
    </tableColumn>
    <tableColumn id="196" xr3:uid="{762C79AC-D4A6-4B29-8B92-9D865A95C026}" name="4.5* Max Water (kL)" dataDxfId="314">
      <calculatedColumnFormula>ROUNDDOWN(tbl_RACRL_Multi[[#This Row],[4.5* Max BF]]*tbl_RACRL_Multi[[Bw]:[Bw]],0)</calculatedColumnFormula>
    </tableColumn>
    <tableColumn id="197" xr3:uid="{909408D4-626B-497D-A319-F28BE1153854}" name="4.0* Max Water (kL)" dataDxfId="313">
      <calculatedColumnFormula>ROUNDDOWN(tbl_RACRL_Multi[[#This Row],[4.0* Max BF]]*tbl_RACRL_Multi[[Bw]:[Bw]],0)</calculatedColumnFormula>
    </tableColumn>
    <tableColumn id="198" xr3:uid="{2B3F100A-AC57-4464-9B33-2164A3FE4640}" name="3.5* Max Water (kL)" dataDxfId="312">
      <calculatedColumnFormula>ROUNDDOWN(tbl_RACRL_Multi[[#This Row],[3.5* Max BF]]*tbl_RACRL_Multi[[Bw]:[Bw]],0)</calculatedColumnFormula>
    </tableColumn>
    <tableColumn id="199" xr3:uid="{6337384E-1A6E-458A-B16B-0BC5A2450042}" name="3.0* Max Water (kL)" dataDxfId="311">
      <calculatedColumnFormula>ROUNDDOWN(tbl_RACRL_Multi[[#This Row],[3.0* Max BF]]*tbl_RACRL_Multi[[Bw]:[Bw]],0)</calculatedColumnFormula>
    </tableColumn>
    <tableColumn id="200" xr3:uid="{16249F52-04DB-4EAF-A9A4-B446111F9416}" name="2.5* Max Water (kL)" dataDxfId="310">
      <calculatedColumnFormula>ROUNDDOWN(tbl_RACRL_Multi[[#This Row],[2.5* Max BF]]*tbl_RACRL_Multi[[Bw]:[Bw]],0)</calculatedColumnFormula>
    </tableColumn>
    <tableColumn id="201" xr3:uid="{0A3B2212-7509-409B-A00A-6F7BFEF1EC29}" name="2.0* Max Water (kL)" dataDxfId="309">
      <calculatedColumnFormula>ROUNDDOWN(tbl_RACRL_Multi[[#This Row],[2.0* Max BF]]*tbl_RACRL_Multi[[Bw]:[Bw]],0)</calculatedColumnFormula>
    </tableColumn>
    <tableColumn id="202" xr3:uid="{43BFC918-1279-476D-9774-65D1448D054D}" name="1.5* Max Water (kL)" dataDxfId="308">
      <calculatedColumnFormula>ROUNDDOWN(tbl_RACRL_Multi[[#This Row],[1.5* Max BF]]*tbl_RACRL_Multi[[Bw]:[Bw]],0)</calculatedColumnFormula>
    </tableColumn>
    <tableColumn id="203" xr3:uid="{35C9E8BF-9C93-40CA-B22A-F75DF0264AFB}" name="1.0* Max Water (kL)" dataDxfId="307">
      <calculatedColumnFormula>ROUNDDOWN(tbl_RACRL_Multi[[#This Row],[1.0* Max BF]]*tbl_RACRL_Multi[[Bw]:[Bw]],0)</calculatedColumnFormula>
    </tableColumn>
    <tableColumn id="183" xr3:uid="{B6074A99-3510-4A0A-A579-14F0E215CCD5}" name="0.0* Max Water (kL)" dataDxfId="306">
      <calculatedColumnFormula>ROUNDDOWN(tbl_RACRL_Multi[[#This Row],[0.0* Max BF]]*tbl_RACRL_Multi[[Bw]:[Bw]],0)</calculatedColumnFormula>
    </tableColumn>
    <tableColumn id="171" xr3:uid="{270925E0-21C2-4CE9-AF33-A2C00E391804}" name="FWD Scope 1,2&amp;3" dataDxfId="305">
      <calculatedColumnFormula>SUM(tbl_RACRL_Multi[[#This Row],[Electricity]]*(1-tbl_RACRL_Multi[[#This Row],[GP]])*tbl_RACRL_Multi[[#This Row],[SGEe Scopes 1,2&amp;3]],
tbl_RACRL_Multi[[#This Row],[Gas]]*tbl_RACRL_Multi[[#This Row],[SGEg Scopes 1,2&amp;3]],
tbl_RACRL_Multi[[#This Row],[Diesel]]*tbl_RACRL_Multi[[#This Row],[SGEd Scopes 1,2&amp;3]])</calculatedColumnFormula>
    </tableColumn>
    <tableColumn id="173" xr3:uid="{50BC37F7-1074-4095-983C-3C9EC6EE7460}" name="FWD Scope 1&amp;2" dataDxfId="304">
      <calculatedColumnFormula>SUM(tbl_RACRL_Multi[[#This Row],[Electricity]]*(1-tbl_RACRL_Multi[[#This Row],[GP]])*tbl_RACRL_Multi[[#This Row],[SGEe Scopes 1&amp;2]],
tbl_RACRL_Multi[[#This Row],[Gas]]*tbl_RACRL_Multi[[#This Row],[SGEg Scopes 1&amp;2]],
tbl_RACRL_Multi[[#This Row],[Diesel]]*tbl_RACRL_Multi[[#This Row],[SGEd Scopes 1&amp;2]])</calculatedColumnFormula>
    </tableColumn>
    <tableColumn id="220" xr3:uid="{AD6979EE-D0CA-4875-BCC2-0BEC2F8AACBA}" name="Energy Star (with GP)" dataDxfId="303">
      <calculatedColumnFormula>IF(tbl_RACRL_Multi[[#This Row],[Energy Star Decimal (with GP)]]&lt;1,1,MIN(ROUNDDOWN(tbl_RACRL_Multi[[#This Row],[Energy Star Decimal (with GP)]]*2,0)/2,6))</calculatedColumnFormula>
    </tableColumn>
    <tableColumn id="221" xr3:uid="{412B1DF8-0F97-4F34-B8FD-E8B3BBF856B3}" name="Energy Star Decimal (with GP)" dataDxfId="302">
      <calculatedColumnFormula>7.001-tbl_RACRL_Multi[[#This Row],[e-BF (with GP)]]/100*3.5018</calculatedColumnFormula>
    </tableColumn>
    <tableColumn id="48" xr3:uid="{D110A0D2-775D-4B22-9C8A-5068AA517396}" name="Energy Star (no GP)" dataDxfId="301">
      <calculatedColumnFormula>IF(tbl_RACRL_Multi[[#This Row],[Energy Star Decimal (no GP)]]&lt;1,1,MIN(ROUNDDOWN(tbl_RACRL_Multi[[#This Row],[Energy Star Decimal (no GP)]]*2,0)/2,6))</calculatedColumnFormula>
    </tableColumn>
    <tableColumn id="49" xr3:uid="{3E196A12-7D94-4929-9EC8-03ACFBD91E86}" name="Energy Star Decimal (no GP)" dataDxfId="300">
      <calculatedColumnFormula>7.001-tbl_RACRL_Multi[[#This Row],[e-BF (no GP)]]/100*3.5018</calculatedColumnFormula>
    </tableColumn>
    <tableColumn id="176" xr3:uid="{112911E7-76D3-4962-9DC5-324B74393019}" name="e (with GP)" dataDxfId="299">
      <calculatedColumnFormula>SUM(tbl_RACRL_Multi[[#This Row],[Electricity]]*(1-tbl_RACRL_Multi[[#This Row],[GP]])*tbl_RACRL_Multi[[#This Row],[SGEe]],
tbl_RACRL_Multi[[#This Row],[Gas]]*tbl_RACRL_Multi[[#This Row],[SGEg]],
tbl_RACRL_Multi[[#This Row],[Diesel]]*tbl_RACRL_Multi[[#This Row],[SGEd]])</calculatedColumnFormula>
    </tableColumn>
    <tableColumn id="45" xr3:uid="{EE7A54D6-6D89-4E4A-91F6-71C2E145E502}" name="e (no GP)" dataDxfId="298">
      <calculatedColumnFormula>SUM(tbl_RACRL_Multi[[#This Row],[Electricity]]*tbl_RACRL_Multi[[#This Row],[SGEe]],
tbl_RACRL_Multi[[#This Row],[Gas]]*tbl_RACRL_Multi[[#This Row],[SGEg]],
tbl_RACRL_Multi[[#This Row],[Diesel]]*tbl_RACRL_Multi[[#This Row],[SGEd]])</calculatedColumnFormula>
    </tableColumn>
    <tableColumn id="174" xr3:uid="{90997282-24D0-4D8D-BC64-2F112EEFC289}" name="e-BF (with GP)" dataDxfId="297">
      <calculatedColumnFormula>tbl_RACRL_Multi[[#This Row],[e (with GP)]]/tbl_RACRL_Multi[[#This Row],[Beadj]]*100</calculatedColumnFormula>
    </tableColumn>
    <tableColumn id="46" xr3:uid="{0B863E53-B685-4052-90B7-CCC64E3E0DB2}" name="e-BF (no GP)" dataDxfId="296">
      <calculatedColumnFormula>tbl_RACRL_Multi[[#This Row],[e (no GP)]]/tbl_RACRL_Multi[[#This Row],[Beadj]]*100</calculatedColumnFormula>
    </tableColumn>
    <tableColumn id="189" xr3:uid="{B4E4BC0F-D84B-46EB-8ADF-DDA6E46CFEF9}" name="Water Star (with recyc)" dataDxfId="295">
      <calculatedColumnFormula>IF(tbl_RACRL_Multi[[#This Row],[Water Star Decimal (with recyc)]]&lt;1,1,MIN(ROUNDDOWN(tbl_RACRL_Multi[[#This Row],[Water Star Decimal (with recyc)]]*2,0)/2,6))</calculatedColumnFormula>
    </tableColumn>
    <tableColumn id="190" xr3:uid="{F38FBBBE-2D2D-4437-958D-4FC026BE183D}" name="Water Star Decimal (with recyc)" dataDxfId="294">
      <calculatedColumnFormula>7.001-tbl_RACRL_Multi[[#This Row],[w-BF (with recyc)]]/100*3.5018</calculatedColumnFormula>
    </tableColumn>
    <tableColumn id="178" xr3:uid="{8FA4E935-A043-4BE4-B14A-6C9867DEEAB2}" name="Water Star (no recyc)" dataDxfId="293">
      <calculatedColumnFormula>IF(tbl_RACRL_Multi[[#This Row],[Water Star Decimal (no recyc)]]&lt;1,1,MIN(ROUNDDOWN(tbl_RACRL_Multi[[#This Row],[Water Star Decimal (no recyc)]]*2,0)/2,6))</calculatedColumnFormula>
    </tableColumn>
    <tableColumn id="179" xr3:uid="{1F6B0CC6-5694-4A21-A9B5-9AC63FDAABCF}" name="Water Star Decimal (no recyc)" dataDxfId="292">
      <calculatedColumnFormula>7.001-tbl_RACRL_Multi[[#This Row],[w-BF (no recyc)]]/100*3.5018</calculatedColumnFormula>
    </tableColumn>
    <tableColumn id="51" xr3:uid="{2D5F55FC-1560-4F68-B313-BAE54D5EC263}" name="w (with recyc)" dataDxfId="291">
      <calculatedColumnFormula>tbl_RACRL_Multi[[#This Row],[Water]]*(1-tbl_RACRL_Multi[[#This Row],[RW]])</calculatedColumnFormula>
    </tableColumn>
    <tableColumn id="177" xr3:uid="{CFE5C599-932A-4FB4-B7C7-79F88CFDB911}" name="w (no recyc)" dataDxfId="290">
      <calculatedColumnFormula>tbl_RACRL_Multi[[#This Row],[Water]]</calculatedColumnFormula>
    </tableColumn>
    <tableColumn id="187" xr3:uid="{5401794E-AD43-4C6C-A261-9B0A84954A8B}" name="w-BF (with recyc)" dataDxfId="289">
      <calculatedColumnFormula>tbl_RACRL_Multi[[#This Row],[w (with recyc)]]/tbl_RACRL_Multi[[#This Row],[Bw]]*100</calculatedColumnFormula>
    </tableColumn>
    <tableColumn id="180" xr3:uid="{2A9670BA-F83E-47DF-9B62-29DE559F8DE6}" name="w-BF (no recyc)" dataDxfId="288">
      <calculatedColumnFormula>tbl_RACRL_Multi[[#This Row],[w (no recyc)]]/tbl_RACRL_Multi[[#This Row],[Bw]]*100</calculatedColumnFormula>
    </tableColum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9C11D6B9-8F13-4A84-A361-EC0D1852AD3D}" name="tbl_WaCS_Multi" displayName="tbl_WaCS_Multi" ref="A3:FS6" totalsRowShown="0" headerRowDxfId="281" dataDxfId="280" headerRowBorderDxfId="278" tableBorderDxfId="279">
  <autoFilter ref="A3:FS6" xr:uid="{912DCB91-0EE1-4B70-BDB9-4E27D3EB38A8}"/>
  <tableColumns count="175">
    <tableColumn id="222" xr3:uid="{32A96521-F3B9-4A62-8A1F-ACB67732C156}" name="Target Energy" dataDxfId="277"/>
    <tableColumn id="235" xr3:uid="{8944D24E-C9B5-44E1-AE4A-17B9EFC12CA6}" name="Postcode" dataDxfId="276"/>
    <tableColumn id="7" xr3:uid="{B7C78CA9-9993-4F77-AF2D-4AAFC4F53A53}" name="FTRE of ATR" dataDxfId="275"/>
    <tableColumn id="8" xr3:uid="{3D6CEED1-C8E7-4997-9687-029ED22E60E3}" name="Cold Store" dataDxfId="274"/>
    <tableColumn id="1" xr3:uid="{4243B779-C92C-47A0-8A35-393AED24F9A7}" name="Total GLA" dataDxfId="273"/>
    <tableColumn id="2" xr3:uid="{ECC60488-EE61-41C4-A23D-A14E2DAFB9FD}" name="Conditioned GLA" dataDxfId="272"/>
    <tableColumn id="3" xr3:uid="{139D49A7-3240-4395-9455-4A960866716A}" name="Non-Conditioned GLA" dataDxfId="271"/>
    <tableColumn id="177" xr3:uid="{4DDD0610-94CC-4D4A-AF95-E97790078A6C}" name="Cool Volume" dataDxfId="270"/>
    <tableColumn id="182" xr3:uid="{128A8D76-DFB3-40AE-84E7-B9CA8175608D}" name="Cold Volume" dataDxfId="269"/>
    <tableColumn id="183" xr3:uid="{1A93F77A-9EEF-46E5-86A9-DF9F1D2C5C51}" name="Hours" dataDxfId="268"/>
    <tableColumn id="191" xr3:uid="{822414BE-C135-438A-A09C-188827821A35}" name="FTE" dataDxfId="267"/>
    <tableColumn id="4" xr3:uid="{120C398C-7030-4B3F-8641-47C80621B15C}" name="ATR" dataDxfId="266"/>
    <tableColumn id="141" xr3:uid="{B5649463-2903-4F1B-A394-774E1B866258}" name="Electricity (%)" dataDxfId="265"/>
    <tableColumn id="142" xr3:uid="{69B6F766-C863-4E8F-A713-320DE0660AFA}" name="Gas (%)" dataDxfId="264"/>
    <tableColumn id="205" xr3:uid="{2137B4EE-EF3D-4089-B0DF-18F4C409CD3F}" name="LPG (%)" dataDxfId="263"/>
    <tableColumn id="143" xr3:uid="{2996589C-C6AB-438C-8D8C-560C66BFF0AA}" name="Diesel (%)" dataDxfId="262"/>
    <tableColumn id="224" xr3:uid="{248E3666-1BD0-48DB-9AD1-66A8DA7F894E}" name="Actual/Predicted Ratio" dataDxfId="261">
      <calculatedColumnFormula>tbl_WaCS_Multi[[#This Row],[Predicted Emissions Ratio]]</calculatedColumnFormula>
    </tableColumn>
    <tableColumn id="174" xr3:uid="{2A1EEFFF-2658-4AA1-88B9-9A4889C84475}" name="Predicted GE" dataDxfId="260">
      <calculatedColumnFormula>tbl_WaCS_Multi[[#This Row],[Predicted Emissions]]</calculatedColumnFormula>
    </tableColumn>
    <tableColumn id="225" xr3:uid="{A8FF087A-F3FA-4CBC-92DC-9BB9B986F485}" name="Max Emissions at Target" dataDxfId="259">
      <calculatedColumnFormula>tbl_WaCS_Multi[[#This Row],[Target Max CO2]]</calculatedColumnFormula>
    </tableColumn>
    <tableColumn id="254" xr3:uid="{DA9CC47C-0FCC-4E93-BCBF-06EFA144C782}" name="Max Emissions Intensity at Target" dataDxfId="258">
      <calculatedColumnFormula>tbl_WaCS_Multi[[#This Row],[Target Max GE]]</calculatedColumnFormula>
    </tableColumn>
    <tableColumn id="255" xr3:uid="{961EA803-B285-4FAE-A711-4CACB15E988B}" name="Max Energy Intensity at Target" dataDxfId="257">
      <calculatedColumnFormula>tbl_WaCS_Multi[[#This Row],[Target Max Energy Intensity]]</calculatedColumnFormula>
    </tableColumn>
    <tableColumn id="226" xr3:uid="{04C946F5-A3F2-446F-9CA6-40795D2A1CE2}" name="Max Scope 1,2&amp;3 at Target" dataDxfId="256">
      <calculatedColumnFormula>tbl_WaCS_Multi[[#This Row],[Target Scopes 1,2&amp;3]]</calculatedColumnFormula>
    </tableColumn>
    <tableColumn id="227" xr3:uid="{2D2BBF04-0E57-476A-8810-FADBF510F284}" name="Max Scope 1&amp;2 at Targe" dataDxfId="255">
      <calculatedColumnFormula>tbl_WaCS_Multi[[#This Row],[Target Scopes 1&amp;2]]</calculatedColumnFormula>
    </tableColumn>
    <tableColumn id="228" xr3:uid="{7237C944-EA61-4FDC-B163-8EA65C83F28D}" name="Max Elec (kWh) at Target" dataDxfId="254">
      <calculatedColumnFormula>tbl_WaCS_Multi[[#This Row],[Target Max Elec (kWh)]]</calculatedColumnFormula>
    </tableColumn>
    <tableColumn id="229" xr3:uid="{DC0F9923-FD52-4926-B87F-429E49BC847F}" name="Max Gas (MJ) at Target" dataDxfId="253">
      <calculatedColumnFormula>tbl_WaCS_Multi[[#This Row],[Target Max Gas (MJ)]]</calculatedColumnFormula>
    </tableColumn>
    <tableColumn id="260" xr3:uid="{322DCD41-104A-474C-91EA-AACDB3E8BB8D}" name="Max LPG (L) at Target" dataDxfId="252">
      <calculatedColumnFormula>tbl_WaCS_Multi[[#This Row],[Target Max LPG (L)]]</calculatedColumnFormula>
    </tableColumn>
    <tableColumn id="230" xr3:uid="{214C4418-17F6-4779-801E-C65BF4845F88}" name="Max Diesel (L) at Target" dataDxfId="251">
      <calculatedColumnFormula>tbl_WaCS_Multi[[#This Row],[Target Max Diesel (L)]]</calculatedColumnFormula>
    </tableColumn>
    <tableColumn id="12" xr3:uid="{124F3E4E-562F-44B9-8FAF-E7554E1F8245}" name="Electricity" dataDxfId="250"/>
    <tableColumn id="13" xr3:uid="{9ACBB3D7-7B06-4209-81A7-369A20DB420C}" name="Gas" dataDxfId="249"/>
    <tableColumn id="273" xr3:uid="{C906B435-02B8-4179-A98B-DBCFCFBE3908}" name="LPG" dataDxfId="248"/>
    <tableColumn id="14" xr3:uid="{A558EDF9-A809-4607-93E9-AC1C901D089D}" name="Diesel" dataDxfId="247"/>
    <tableColumn id="19" xr3:uid="{EE883194-F7EC-4D75-A7E9-DD0D8C8857F7}" name="State" dataDxfId="246"/>
    <tableColumn id="20" xr3:uid="{8D3CA3AE-041A-48BB-8398-80D29AD6B0BB}" name="Climate zone" dataDxfId="245">
      <calculatedColumnFormula>INDEX(tbl_Climate_Lookup[#Data],MATCH(tbl_WaCS_Multi[[Postcode]:[Postcode]],tbl_Climate_Lookup[[Postcode]:[Postcode]],0),MATCH(tbl_WaCS_Multi[[#Headers],[Climate zone]],tbl_Climate_Lookup[#Headers],0))</calculatedColumnFormula>
    </tableColumn>
    <tableColumn id="21" xr3:uid="{F83A793D-764A-49D0-B29A-2DEF5531C061}" name="HDD" dataDxfId="244">
      <calculatedColumnFormula>INDEX(tbl_Climate_Lookup[#Data],MATCH(tbl_WaCS_Multi[[Postcode]:[Postcode]],tbl_Climate_Lookup[[Postcode]:[Postcode]],0),MATCH(tbl_WaCS_Multi[[#Headers],[HDD]],tbl_Climate_Lookup[#Headers],0))</calculatedColumnFormula>
    </tableColumn>
    <tableColumn id="22" xr3:uid="{C8CB0BB2-AE17-47AA-94E1-E932F2D1DD27}" name="CDD" dataDxfId="243">
      <calculatedColumnFormula>INDEX(tbl_Climate_Lookup[#Data],MATCH(tbl_WaCS_Multi[[Postcode]:[Postcode]],tbl_Climate_Lookup[[Postcode]:[Postcode]],0),MATCH(tbl_WaCS_Multi[[#Headers],[CDD]],tbl_Climate_Lookup[#Headers],0))</calculatedColumnFormula>
    </tableColumn>
    <tableColumn id="25" xr3:uid="{1B0E703C-15D1-481C-8C1E-3A2DF52B4B1C}" name="SGEe" dataDxfId="242">
      <calculatedColumnFormula>INDEX(tbl_SGE_Warehouse_2022[],MATCH(tbl_WaCS_Multi[[State]:[State]],tbl_SGE_Warehouse_2022[[State]:[State]],0),MATCH(tbl_WaCS_Multi[[#Headers],[SGEe]],tbl_SGE_Warehouse_2022[#Headers],0))</calculatedColumnFormula>
    </tableColumn>
    <tableColumn id="26" xr3:uid="{8ADD590B-3457-49BC-9D5D-FE2D9AFE4705}" name="SGEg" dataDxfId="241">
      <calculatedColumnFormula>INDEX(tbl_SGE_Warehouse_2022[],MATCH(tbl_WaCS_Multi[[State]:[State]],tbl_SGE_Warehouse_2022[[State]:[State]],0),MATCH(tbl_WaCS_Multi[[#Headers],[SGEg]],tbl_SGE_Warehouse_2022[#Headers],0))</calculatedColumnFormula>
    </tableColumn>
    <tableColumn id="259" xr3:uid="{DF65B7AA-837A-46AE-B832-28A37EBE0E25}" name="SGEl" dataDxfId="240">
      <calculatedColumnFormula>INDEX(tbl_SGE_Warehouse_2022[],MATCH(tbl_WaCS_Multi[[State]:[State]],tbl_SGE_Warehouse_2022[[State]:[State]],0),MATCH(tbl_WaCS_Multi[[#Headers],[SGEl]],tbl_SGE_Warehouse_2022[#Headers],0))</calculatedColumnFormula>
    </tableColumn>
    <tableColumn id="27" xr3:uid="{D006C7BD-B31B-4D4E-BDBD-CA214D06D0CE}" name="SGEd" dataDxfId="239">
      <calculatedColumnFormula>INDEX(tbl_SGE_Warehouse_2022[],MATCH(tbl_WaCS_Multi[[State]:[State]],tbl_SGE_Warehouse_2022[[State]:[State]],0),MATCH(tbl_WaCS_Multi[[#Headers],[SGEd]],tbl_SGE_Warehouse_2022[#Headers],0))</calculatedColumnFormula>
    </tableColumn>
    <tableColumn id="219" xr3:uid="{5F18783B-3125-4490-AA6A-6960FE213711}" name="SGEe wrt NSW" dataDxfId="238">
      <calculatedColumnFormula>INDEX(tbl_SGE_Warehouse_2022[],MATCH(tbl_WaCS_Multi[[State]:[State]],tbl_SGE_Warehouse_2022[[State]:[State]],0),MATCH(tbl_WaCS_Multi[[#Headers],[SGEe wrt NSW]],tbl_SGE_Warehouse_2022[#Headers],0))</calculatedColumnFormula>
    </tableColumn>
    <tableColumn id="237" xr3:uid="{B9F292A5-9509-4524-8170-05B9FB163544}" name="SGEg wrt NSW" dataDxfId="237">
      <calculatedColumnFormula>INDEX(tbl_SGE_Warehouse_2022[],MATCH(tbl_WaCS_Multi[[State]:[State]],tbl_SGE_Warehouse_2022[[State]:[State]],0),MATCH(tbl_WaCS_Multi[[#Headers],[SGEg wrt NSW]],tbl_SGE_Warehouse_2022[#Headers],0))</calculatedColumnFormula>
    </tableColumn>
    <tableColumn id="145" xr3:uid="{161A285E-7CEA-45BF-8120-CD46C42AE893}" name="CFelec" dataDxfId="236">
      <calculatedColumnFormula>INDEX(tbl_Conversion_Factors[[Conversion Factors]:[Conversion Factors]],MATCH(tbl_WaCS_Multi[[#Headers],[CFelec]],tbl_Conversion_Factors[[Reference]:[Reference]],0))</calculatedColumnFormula>
    </tableColumn>
    <tableColumn id="242" xr3:uid="{EDC47DB3-2DFA-4182-A3F2-7F15015F4D09}" name="CFlpg" dataDxfId="235">
      <calculatedColumnFormula>INDEX(tbl_Conversion_Factors[[Conversion Factors]:[Conversion Factors]],MATCH(tbl_WaCS_Multi[[#Headers],[CFlpg]],tbl_Conversion_Factors[[Reference]:[Reference]],0))</calculatedColumnFormula>
    </tableColumn>
    <tableColumn id="146" xr3:uid="{74273D8C-5E5C-4501-BA21-510461EB64C3}" name="CFdiesel" dataDxfId="234">
      <calculatedColumnFormula>INDEX(tbl_Conversion_Factors[[Conversion Factors]:[Conversion Factors]],MATCH(tbl_WaCS_Multi[[#Headers],[CFdiesel]],tbl_Conversion_Factors[[Reference]:[Reference]],0))</calculatedColumnFormula>
    </tableColumn>
    <tableColumn id="151" xr3:uid="{B87E9B83-5A44-42E2-8D4F-6E6C26B8164B}" name="SGEeMJ" dataDxfId="233">
      <calculatedColumnFormula>tbl_WaCS_Multi[[#This Row],[SGEe]]/tbl_WaCS_Multi[[#This Row],[CFelec]]</calculatedColumnFormula>
    </tableColumn>
    <tableColumn id="152" xr3:uid="{0033654B-25EF-49D5-8DB2-0B9FE46CE62A}" name="SGEdMJ" dataDxfId="232">
      <calculatedColumnFormula>tbl_WaCS_Multi[[#This Row],[SGEd]]/tbl_WaCS_Multi[[#This Row],[CFdiesel]]</calculatedColumnFormula>
    </tableColumn>
    <tableColumn id="154" xr3:uid="{E3A70847-A0E6-425A-A68B-BFA660DB11FB}" name="EffGHGMJ" dataDxfId="231">
      <calculatedColumnFormula>IF(SUM(tbl_WaCS_Multi[[#This Row],[Electricity (%)]:[Diesel (%)]])=1,
SUM(tbl_WaCS_Multi[[#This Row],[Electricity (%)]]*tbl_WaCS_Multi[[#This Row],[SGEeMJ]],
tbl_WaCS_Multi[[#This Row],[Gas (%)]]*tbl_WaCS_Multi[[#This Row],[SGEg]],
tbl_WaCS_Multi[[#This Row],[LPG (%)]]*tbl_WaCS_Multi[[#This Row],[SGEl]],
tbl_WaCS_Multi[[#This Row],[Diesel (%)]]*tbl_WaCS_Multi[[#This Row],[SGEdMJ]]),
0)</calculatedColumnFormula>
    </tableColumn>
    <tableColumn id="244" xr3:uid="{A3E99C23-81E6-4FC3-85E2-98BE787A08FF}" name="SGEe Scopes 1,2&amp;3" dataDxfId="230">
      <calculatedColumnFormula>INDEX(tbl_NGA_Factors_2021[#Data],MATCH(tbl_WaCS_Multi[[State]:[State]],tbl_NGA_Factors_2021[[State]:[State]],0),MATCH(tbl_WaCS_Multi[[#Headers],[SGEe Scopes 1,2&amp;3]],tbl_NGA_Factors_2021[#Headers],0))</calculatedColumnFormula>
    </tableColumn>
    <tableColumn id="245" xr3:uid="{E6A99A4B-A104-4D03-A760-F5FA5A6CA233}" name="SGEg Scopes 1,2&amp;3" dataDxfId="229">
      <calculatedColumnFormula>INDEX(tbl_NGA_Factors_2021[#Data],MATCH(tbl_WaCS_Multi[[State]:[State]],tbl_NGA_Factors_2021[[State]:[State]],0),MATCH(tbl_WaCS_Multi[[#Headers],[SGEg Scopes 1,2&amp;3]],tbl_NGA_Factors_2021[#Headers],0))</calculatedColumnFormula>
    </tableColumn>
    <tableColumn id="258" xr3:uid="{CA021BE5-07B6-4E35-A7C3-FD7770F9FC12}" name="SGEl Scopes 1,2&amp;3" dataDxfId="228">
      <calculatedColumnFormula>INDEX(tbl_NGA_Factors_2021[#Data],MATCH(tbl_WaCS_Multi[[State]:[State]],tbl_NGA_Factors_2021[[State]:[State]],0),MATCH(tbl_WaCS_Multi[[#Headers],[SGEl Scopes 1,2&amp;3]],tbl_NGA_Factors_2021[#Headers],0))</calculatedColumnFormula>
    </tableColumn>
    <tableColumn id="246" xr3:uid="{325C654B-5E81-442D-A539-43F0CC19B6A6}" name="SGEd Scopes 1,2&amp;3" dataDxfId="227">
      <calculatedColumnFormula>INDEX(tbl_NGA_Factors_2021[#Data],MATCH(tbl_WaCS_Multi[[State]:[State]],tbl_NGA_Factors_2021[[State]:[State]],0),MATCH(tbl_WaCS_Multi[[#Headers],[SGEd Scopes 1,2&amp;3]],tbl_NGA_Factors_2021[#Headers],0))</calculatedColumnFormula>
    </tableColumn>
    <tableColumn id="248" xr3:uid="{945A38B3-9D1D-4EE9-BCBB-7A99E6C6F4C7}" name="SGEe Scopes 1&amp;2" dataDxfId="226">
      <calculatedColumnFormula>INDEX(tbl_NGA_Factors_2021[#Data],MATCH(tbl_WaCS_Multi[[State]:[State]],tbl_NGA_Factors_2021[[State]:[State]],0),MATCH(tbl_WaCS_Multi[[#Headers],[SGEe Scopes 1&amp;2]],tbl_NGA_Factors_2021[#Headers],0))</calculatedColumnFormula>
    </tableColumn>
    <tableColumn id="249" xr3:uid="{775BBA06-8171-49AC-8022-0F433ED8B519}" name="SGEg Scopes 1&amp;2" dataDxfId="225">
      <calculatedColumnFormula>INDEX(tbl_NGA_Factors_2021[#Data],MATCH(tbl_WaCS_Multi[[State]:[State]],tbl_NGA_Factors_2021[[State]:[State]],0),MATCH(tbl_WaCS_Multi[[#Headers],[SGEg Scopes 1&amp;2]],tbl_NGA_Factors_2021[#Headers],0))</calculatedColumnFormula>
    </tableColumn>
    <tableColumn id="257" xr3:uid="{1DDA0810-8A69-4155-A767-2FE284646657}" name="SGEl Scopes 1&amp;2" dataDxfId="224">
      <calculatedColumnFormula>INDEX(tbl_NGA_Factors_2021[#Data],MATCH(tbl_WaCS_Multi[[State]:[State]],tbl_NGA_Factors_2021[[State]:[State]],0),MATCH(tbl_WaCS_Multi[[#Headers],[SGEl Scopes 1&amp;2]],tbl_NGA_Factors_2021[#Headers],0))</calculatedColumnFormula>
    </tableColumn>
    <tableColumn id="250" xr3:uid="{7BA846A5-C42E-42D7-B6F1-D9AD07E7C6D1}" name="SGEd Scopes 1&amp;2" dataDxfId="223">
      <calculatedColumnFormula>INDEX(tbl_NGA_Factors_2021[#Data],MATCH(tbl_WaCS_Multi[[State]:[State]],tbl_NGA_Factors_2021[[State]:[State]],0),MATCH(tbl_WaCS_Multi[[#Headers],[SGEd Scopes 1&amp;2]],tbl_NGA_Factors_2021[#Headers],0))</calculatedColumnFormula>
    </tableColumn>
    <tableColumn id="28" xr3:uid="{5F071406-CB31-43E6-8BFB-E7BE06BEEBE1}" name="45.928*CG" dataDxfId="222">
      <calculatedColumnFormula>Warehouses_C_Conditioned_Area*tbl_WaCS_Multi[[#This Row],[Conditioned GLA]]</calculatedColumnFormula>
    </tableColumn>
    <tableColumn id="34" xr3:uid="{6932D167-014A-4C9B-9C16-1C6F72CB2FE8}" name="22.349*NCG" dataDxfId="221">
      <calculatedColumnFormula>Warehouses_C_Non_Conditioned_Area*tbl_WaCS_Multi[[#This Row],[Non-Conditioned GLA]]</calculatedColumnFormula>
    </tableColumn>
    <tableColumn id="240" xr3:uid="{A97FD91F-4CEE-4AE8-8044-0086F8356D6D}" name="FTEstandardized" dataDxfId="220">
      <calculatedColumnFormula>tbl_WaCS_Multi[[#This Row],[FTE]]/tbl_WaCS_Multi[[#This Row],[Total GLA]]</calculatedColumnFormula>
    </tableColumn>
    <tableColumn id="35" xr3:uid="{FC4BCB78-B342-4463-9BFD-168EE382703F}" name="C1" dataDxfId="219">
      <calculatedColumnFormula>1-Warehouse_C_C1_Hours_Intercept+Warehouse_C_C1_Hours_Coefficient*tbl_WaCS_Multi[[#This Row],[Hours]]</calculatedColumnFormula>
    </tableColumn>
    <tableColumn id="206" xr3:uid="{C0326A3C-BFB8-4D6D-A6EF-2884AE23838B}" name="C2" dataDxfId="218">
      <calculatedColumnFormula>1-Warehouse_C_C2_Non_Refrigerated_FTE_Intercept+Warehouse_C_C2_Non_Refrigerated_FTE_Coefficient*tbl_WaCS_Multi[[#This Row],[FTEstandardized]]</calculatedColumnFormula>
    </tableColumn>
    <tableColumn id="214" xr3:uid="{F7E262E2-2A38-4ED1-893E-9CF23C71B4DC}" name="K2" dataDxfId="217">
      <calculatedColumnFormula>1-Warehouse_C_C2_Non_Refrigerated_FTE_Intercept+Warehouse_C_C2_Non_Refrigerated_FTE_Coefficient*(Warehouse_C_K2_K3_Non_Refrigerated_ATR_Intercept+Warehouse_C_K2_K3_Non_Refrigerated_ATR_Coefficient*tbl_WaCS_Multi[[#This Row],[ATR]])</calculatedColumnFormula>
    </tableColumn>
    <tableColumn id="58" xr3:uid="{E42E8E25-2D44-43C6-B1A4-5FB4AD5D4734}" name="32.537*CDV" dataDxfId="216">
      <calculatedColumnFormula>IF(tbl_WaCS_Multi[[#This Row],[Cold Store]]="No",0,Warehouses_C_Cold_Volume*tbl_WaCS_Multi[[#This Row],[Cold Volume]])</calculatedColumnFormula>
    </tableColumn>
    <tableColumn id="236" xr3:uid="{A75E8647-4831-472D-9714-5016326D49FC}" name="24.854*CLV" dataDxfId="215">
      <calculatedColumnFormula>IF(tbl_WaCS_Multi[[#This Row],[Cold Store]]="No",0,Warehouses_C_Cool_Volume*tbl_WaCS_Multi[[#This Row],[Non-Conditioned GLA]])</calculatedColumnFormula>
    </tableColumn>
    <tableColumn id="36" xr3:uid="{818D6F74-8130-4DD9-8232-29F741AE8333}" name="C3" dataDxfId="214">
      <calculatedColumnFormula>1-Warehouse_C_C2_Refrigerated_FTE_Intercept+Warehouse_C_C2_Refrigerated_FTE_Coefficient*tbl_WaCS_Multi[[#This Row],[FTEstandardized]]</calculatedColumnFormula>
    </tableColumn>
    <tableColumn id="10" xr3:uid="{0F24948A-854D-4C80-9458-B9F26FD6B6E6}" name="K3" dataDxfId="213">
      <calculatedColumnFormula>1-Warehouse_C_C2_Refrigerated_FTE_Intercept+Warehouse_C_C2_Refrigerated_FTE_Coefficient*(Warehouse_C_K2_K3_Non_Refrigerated_ATR_Intercept+Warehouse_C_K2_K3_Non_Refrigerated_ATR_Coefficient*tbl_WaCS_Multi[[#This Row],[ATR]])</calculatedColumnFormula>
    </tableColumn>
    <tableColumn id="211" xr3:uid="{1DD41B2A-1C0E-43E6-B84D-A1122197056D}" name="(45.928CG+22.349NCG)C1C2" dataDxfId="212">
      <calculatedColumnFormula>SUM(Warehouses_C_Conditioned_Area*tbl_WaCS_Multi[[#This Row],[Conditioned GLA]],Warehouses_C_Non_Conditioned_Area*tbl_WaCS_Multi[[#This Row],[Non-Conditioned GLA]])*tbl_WaCS_Multi[[#This Row],[C1]]*tbl_WaCS_Multi[[#This Row],[C2]]</calculatedColumnFormula>
    </tableColumn>
    <tableColumn id="212" xr3:uid="{045F7E0C-D098-4E14-A16E-DB10B5A6979E}" name="(32.537CDV+24.854CLV)C3" dataDxfId="211">
      <calculatedColumnFormula>IF(tbl_WaCS_Multi[[#This Row],[Cold Store]]="No",0,(Warehouses_C_Cold_Volume*tbl_WaCS_Multi[[#This Row],[Cold Volume]]+Warehouses_C_Cool_Volume*tbl_WaCS_Multi[[#This Row],[Cool Volume]])*tbl_WaCS_Multi[[#This Row],[C3]])</calculatedColumnFormula>
    </tableColumn>
    <tableColumn id="210" xr3:uid="{33403FD2-7BCE-44D5-B90E-73A42CCB7CBB}" name="Bori1FTE" dataDxfId="210">
      <calculatedColumnFormula>SUM(tbl_WaCS_Multi[[#This Row],[(45.928CG+22.349NCG)C1C2]],tbl_WaCS_Multi[[#This Row],[(32.537CDV+24.854CLV)C3]])</calculatedColumnFormula>
    </tableColumn>
    <tableColumn id="213" xr3:uid="{B320A37C-3A3E-46C6-B136-3222E755A4B5}" name="Badjusted1FTE" dataDxfId="209">
      <calculatedColumnFormula>(Warehouse_C_Adjustment_Elec*tbl_WaCS_Multi[[#This Row],[Bori1FTE]]*tbl_WaCS_Multi[[#This Row],[SGEe wrt NSW]])+(Warehouse_C_Adjustment_Gas*tbl_WaCS_Multi[[#This Row],[Bori1FTE]]*tbl_WaCS_Multi[[#This Row],[SGEg wrt NSW]])</calculatedColumnFormula>
    </tableColumn>
    <tableColumn id="45" xr3:uid="{52AEDBB3-B754-45F1-958C-5B543854D573}" name="(45.928CG+22.349NCG)C1K2" dataDxfId="208">
      <calculatedColumnFormula>SUM(Warehouses_C_Conditioned_Area*tbl_WaCS_Multi[[#This Row],[Conditioned GLA]],Warehouses_C_Non_Conditioned_Area*tbl_WaCS_Multi[[#This Row],[Non-Conditioned GLA]])*tbl_WaCS_Multi[[#This Row],[C1]]*tbl_WaCS_Multi[[#This Row],[K2]]</calculatedColumnFormula>
    </tableColumn>
    <tableColumn id="175" xr3:uid="{55DD229F-65AD-4C7B-AD57-5CA83E429826}" name="(32.537CDV+24.854CLV)K3" dataDxfId="207">
      <calculatedColumnFormula>IF(tbl_WaCS_Multi[[#This Row],[Cold Store]]="No",0,(Warehouses_C_Cold_Volume*tbl_WaCS_Multi[[#This Row],[Cold Volume]]+Warehouses_C_Cool_Volume*tbl_WaCS_Multi[[#This Row],[Cool Volume]])*tbl_WaCS_Multi[[#This Row],[K3]])</calculatedColumnFormula>
    </tableColumn>
    <tableColumn id="172" xr3:uid="{E585F95B-1836-457C-A948-C3E2A73E5847}" name="Bori2ATR" dataDxfId="206">
      <calculatedColumnFormula>SUM(tbl_WaCS_Multi[[#This Row],[(45.928CG+22.349NCG)C1K2]],tbl_WaCS_Multi[[#This Row],[(32.537CDV+24.854CLV)K3]])</calculatedColumnFormula>
    </tableColumn>
    <tableColumn id="59" xr3:uid="{3E7EEBB2-695B-416E-B988-7FDB484B1521}" name="Badjusted2ATR" dataDxfId="205">
      <calculatedColumnFormula>(Warehouse_C_Adjustment_Elec*tbl_WaCS_Multi[[#This Row],[Bori2ATR]]*tbl_WaCS_Multi[[#This Row],[SGEe wrt NSW]])+(Warehouse_C_Adjustment_Gas*tbl_WaCS_Multi[[#This Row],[Bori2ATR]]*tbl_WaCS_Multi[[#This Row],[SGEg wrt NSW]])</calculatedColumnFormula>
    </tableColumn>
    <tableColumn id="239" xr3:uid="{53AA77D7-679A-4B9E-AD68-2C01470A83E7}" name="Predicted Emissions" dataDxfId="204">
      <calculatedColumnFormula>IF(tbl_WaCS_Multi[[#This Row],[FTRE of ATR]]="FTE",tbl_WaCS_Multi[[#This Row],[Badjusted1FTE]],
IF(tbl_WaCS_Multi[[#This Row],[FTRE of ATR]]="ATR",tbl_WaCS_Multi[[#This Row],[Badjusted2ATR]],
MAX(tbl_WaCS_Multi[[#This Row],[Badjusted1FTE]],tbl_WaCS_Multi[[#This Row],[Badjusted2ATR]])))</calculatedColumnFormula>
    </tableColumn>
    <tableColumn id="234" xr3:uid="{996C3F66-EA3F-423B-A540-532807532C8D}" name="Predicted Emissions Ratio" dataDxfId="203">
      <calculatedColumnFormula>((tbl_WaCS_Multi[[#This Row],[Target Energy]]-7)/-3.75)*0.879</calculatedColumnFormula>
    </tableColumn>
    <tableColumn id="60" xr3:uid="{D29F4EA5-676B-40BF-92D4-B7DB1E4ED97E}" name="Target Max GE" dataDxfId="202">
      <calculatedColumnFormula>tbl_WaCS_Multi[[#This Row],[Predicted Emissions]]*tbl_WaCS_Multi[[#This Row],[Predicted Emissions Ratio]]</calculatedColumnFormula>
    </tableColumn>
    <tableColumn id="166" xr3:uid="{7B36470D-DB02-4E71-90CD-B68032180339}" name="Target Max CO2" dataDxfId="201">
      <calculatedColumnFormula>tbl_WaCS_Multi[[#This Row],[Target Max GE]]</calculatedColumnFormula>
    </tableColumn>
    <tableColumn id="167" xr3:uid="{C83A424C-70B7-440D-AFE2-3170BA3835E2}" name="Target Max Energy (MJ)" dataDxfId="200">
      <calculatedColumnFormula>tbl_WaCS_Multi[[#This Row],[Target Max CO2]]/tbl_WaCS_Multi[[#This Row],[EffGHGMJ]]</calculatedColumnFormula>
    </tableColumn>
    <tableColumn id="256" xr3:uid="{83A46B7E-8973-4A9C-B524-AE4ACF146730}" name="Target Max Energy Intensity" dataDxfId="199">
      <calculatedColumnFormula>tbl_WaCS_Multi[[#This Row],[Target Max Energy (MJ)]]/tbl_WaCS_Multi[[#This Row],[Non-Conditioned GLA]]</calculatedColumnFormula>
    </tableColumn>
    <tableColumn id="170" xr3:uid="{068A8991-C1B1-4708-8829-9B7BB5C65B18}" name="Target Max Elec (kWh)" dataDxfId="198">
      <calculatedColumnFormula>ROUNDDOWN(tbl_WaCS_Multi[[#This Row],[Target Max Energy (MJ)]]*tbl_WaCS_Multi[[#This Row],[Electricity (%)]]/tbl_WaCS_Multi[[#This Row],[CFelec]],0)</calculatedColumnFormula>
    </tableColumn>
    <tableColumn id="178" xr3:uid="{A5D266A7-BAD5-4AC3-BC5D-CA6F29E8542A}" name="Target Max Gas (MJ)" dataDxfId="197">
      <calculatedColumnFormula>ROUNDDOWN(tbl_WaCS_Multi[[#This Row],[Target Max Energy (MJ)]]*tbl_WaCS_Multi[[#This Row],[Gas (%)]],0)</calculatedColumnFormula>
    </tableColumn>
    <tableColumn id="241" xr3:uid="{AA347DA9-A21B-465A-99BC-CBAB68204103}" name="Target Max LPG (L)" dataDxfId="196">
      <calculatedColumnFormula>ROUNDDOWN(tbl_WaCS_Multi[[#This Row],[Target Max Energy (MJ)]]*tbl_WaCS_Multi[[#This Row],[LPG (%)]]/tbl_WaCS_Multi[[#This Row],[CFlpg]],0)</calculatedColumnFormula>
    </tableColumn>
    <tableColumn id="181" xr3:uid="{D314A29F-543F-4EC8-9A40-556EA33610D1}" name="Target Max Diesel (L)" dataDxfId="195">
      <calculatedColumnFormula>ROUNDDOWN(tbl_WaCS_Multi[[#This Row],[Target Max Energy (MJ)]]*tbl_WaCS_Multi[[#This Row],[Diesel (%)]]/tbl_WaCS_Multi[[#This Row],[CFdiesel]],0)</calculatedColumnFormula>
    </tableColumn>
    <tableColumn id="252" xr3:uid="{BCBA9F62-0B2D-4714-905C-DB6917C7C89E}" name="Target Scopes 1,2&amp;3" dataDxfId="194">
      <calculatedColumnFormula>SUM(tbl_WaCS_Multi[[#This Row],[Target Max Elec (kWh)]]*tbl_WaCS_Multi[[#This Row],[SGEe Scopes 1,2&amp;3]],
tbl_WaCS_Multi[[#This Row],[Target Max Gas (MJ)]]*tbl_WaCS_Multi[[#This Row],[SGEg Scopes 1,2&amp;3]],
tbl_WaCS_Multi[[#This Row],[Target Max LPG (L)]]*tbl_WaCS_Multi[[#This Row],[SGEl Scopes 1,2&amp;3]],
tbl_WaCS_Multi[[#This Row],[Target Max Diesel (L)]]*tbl_WaCS_Multi[[#This Row],[SGEd Scopes 1,2&amp;3]])</calculatedColumnFormula>
    </tableColumn>
    <tableColumn id="253" xr3:uid="{9C33F6FE-4E6D-43DE-96BC-5587ADE528A7}" name="Target Scopes 1&amp;2" dataDxfId="193">
      <calculatedColumnFormula>SUM(tbl_WaCS_Multi[[#This Row],[Target Max Elec (kWh)]]*tbl_WaCS_Multi[[#This Row],[SGEe Scopes 1&amp;2]],
tbl_WaCS_Multi[[#This Row],[Target Max Gas (MJ)]]*tbl_WaCS_Multi[[#This Row],[SGEg Scopes 1&amp;2]],
tbl_WaCS_Multi[[#This Row],[Target Max LPG (L)]]*tbl_WaCS_Multi[[#This Row],[SGEl Scopes 1&amp;2]],
tbl_WaCS_Multi[[#This Row],[Target Max Diesel (L)]]*tbl_WaCS_Multi[[#This Row],[SGEd Scopes 1&amp;2]])</calculatedColumnFormula>
    </tableColumn>
    <tableColumn id="64" xr3:uid="{84A0C2A0-8412-4F25-B949-1390CA8A7C14}" name="6.0* Max Predicted Emissions Ratio" dataDxfId="192">
      <calculatedColumnFormula>((LEFT(tbl_WaCS_Multi[[#Headers],[6.0* Max Predicted Emissions Ratio]],3)-7)/-3.75)*0.879</calculatedColumnFormula>
    </tableColumn>
    <tableColumn id="65" xr3:uid="{B931C04C-3C2B-4FF2-B8A4-507014AD22EE}" name="5.5* Max Predicted Emissions Ratio" dataDxfId="191">
      <calculatedColumnFormula>((LEFT(tbl_WaCS_Multi[[#Headers],[5.5* Max Predicted Emissions Ratio]],3)-7)/-3.75)*0.879</calculatedColumnFormula>
    </tableColumn>
    <tableColumn id="66" xr3:uid="{A7F67F70-65D4-4492-BF22-AB650B76C5AD}" name="5.0* Max Predicted Emissions Ratio" dataDxfId="190">
      <calculatedColumnFormula>((LEFT(tbl_WaCS_Multi[[#Headers],[5.0* Max Predicted Emissions Ratio]],3)-7)/-3.75)*0.879</calculatedColumnFormula>
    </tableColumn>
    <tableColumn id="67" xr3:uid="{AB66C93B-79F5-489C-8239-7262C5CE0A68}" name="4.5* Max Predicted Emissions Ratio" dataDxfId="189">
      <calculatedColumnFormula>((LEFT(tbl_WaCS_Multi[[#Headers],[4.5* Max Predicted Emissions Ratio]],3)-7)/-3.75)*0.879</calculatedColumnFormula>
    </tableColumn>
    <tableColumn id="68" xr3:uid="{85D48C79-E9D0-489B-98E5-885676C6E549}" name="4.0* Max Predicted Emissions Ratio" dataDxfId="188">
      <calculatedColumnFormula>((LEFT(tbl_WaCS_Multi[[#Headers],[4.0* Max Predicted Emissions Ratio]],3)-7)/-3.75)*0.879</calculatedColumnFormula>
    </tableColumn>
    <tableColumn id="69" xr3:uid="{AE1928F9-2728-4F3D-ADF6-13AAEF225D71}" name="3.5* Max Predicted Emissions Ratio" dataDxfId="187">
      <calculatedColumnFormula>((LEFT(tbl_WaCS_Multi[[#Headers],[3.5* Max Predicted Emissions Ratio]],3)-7)/-3.75)*0.879</calculatedColumnFormula>
    </tableColumn>
    <tableColumn id="70" xr3:uid="{D84164E5-B837-414E-A19C-73BBC95E7D0B}" name="3.0* Max Predicted Emissions Ratio" dataDxfId="186">
      <calculatedColumnFormula>((LEFT(tbl_WaCS_Multi[[#Headers],[3.0* Max Predicted Emissions Ratio]],3)-7)/-3.75)*0.879</calculatedColumnFormula>
    </tableColumn>
    <tableColumn id="71" xr3:uid="{5C8AACD2-4D08-447E-89A6-5C3827A26208}" name="2.5* Max Predicted Emissions Ratio" dataDxfId="185">
      <calculatedColumnFormula>((LEFT(tbl_WaCS_Multi[[#Headers],[2.5* Max Predicted Emissions Ratio]],3)-7)/-3.75)*0.879</calculatedColumnFormula>
    </tableColumn>
    <tableColumn id="72" xr3:uid="{3BE2B776-5656-4C83-A22A-B40662E321F0}" name="2.0* Max Predicted Emissions Ratio" dataDxfId="184">
      <calculatedColumnFormula>((LEFT(tbl_WaCS_Multi[[#Headers],[2.0* Max Predicted Emissions Ratio]],3)-7)/-3.75)*0.879</calculatedColumnFormula>
    </tableColumn>
    <tableColumn id="73" xr3:uid="{1A8E2D74-5D63-47AE-8182-39B561E5F6CC}" name="1.5* Max Predicted Emissions Ratio" dataDxfId="183">
      <calculatedColumnFormula>((LEFT(tbl_WaCS_Multi[[#Headers],[1.5* Max Predicted Emissions Ratio]],3)-7)/-3.75)*0.879</calculatedColumnFormula>
    </tableColumn>
    <tableColumn id="74" xr3:uid="{5A14400E-694F-4BB1-921E-6FBED98EE09F}" name="1.0* Max Predicted Emissions Ratio" dataDxfId="182">
      <calculatedColumnFormula>((LEFT(tbl_WaCS_Multi[[#Headers],[1.0* Max Predicted Emissions Ratio]],3)-7)/-3.75)*0.879</calculatedColumnFormula>
    </tableColumn>
    <tableColumn id="251" xr3:uid="{CE47C202-F458-494B-B452-39E4C3D932BD}" name="0.0* Max Predicted Emissions Ratio" dataDxfId="181">
      <calculatedColumnFormula>((LEFT(tbl_WaCS_Multi[[#Headers],[0.0* Max Predicted Emissions Ratio]],3)-7)/-3.75)*0.879</calculatedColumnFormula>
    </tableColumn>
    <tableColumn id="86" xr3:uid="{9A2BA5BC-5355-4261-A566-CB613850DF01}" name="6.0* Max CO2" dataDxfId="180">
      <calculatedColumnFormula>tbl_WaCS_Multi[[Predicted Emissions]:[Predicted Emissions]]*tbl_WaCS_Multi[[#This Row],[6.0* Max Predicted Emissions Ratio]]</calculatedColumnFormula>
    </tableColumn>
    <tableColumn id="87" xr3:uid="{9A9C86FA-9952-4DE0-828C-9DD7FF0C12F8}" name="5.5* Max CO2" dataDxfId="179">
      <calculatedColumnFormula>tbl_WaCS_Multi[[Predicted Emissions]:[Predicted Emissions]]*tbl_WaCS_Multi[[#This Row],[5.5* Max Predicted Emissions Ratio]]</calculatedColumnFormula>
    </tableColumn>
    <tableColumn id="88" xr3:uid="{A9BE1BBB-6921-4436-8DF0-BA751495A882}" name="5.0* Max CO2" dataDxfId="178">
      <calculatedColumnFormula>tbl_WaCS_Multi[[Predicted Emissions]:[Predicted Emissions]]*tbl_WaCS_Multi[[#This Row],[5.0* Max Predicted Emissions Ratio]]</calculatedColumnFormula>
    </tableColumn>
    <tableColumn id="89" xr3:uid="{5A928A9F-30D7-4DE9-8C31-04F3AB78E713}" name="4.5* Max CO2" dataDxfId="177">
      <calculatedColumnFormula>tbl_WaCS_Multi[[Predicted Emissions]:[Predicted Emissions]]*tbl_WaCS_Multi[[#This Row],[4.5* Max Predicted Emissions Ratio]]</calculatedColumnFormula>
    </tableColumn>
    <tableColumn id="90" xr3:uid="{4F0E8F6F-3A33-4EC7-893C-E3EDB587BDA0}" name="4.0* Max CO2" dataDxfId="176">
      <calculatedColumnFormula>tbl_WaCS_Multi[[Predicted Emissions]:[Predicted Emissions]]*tbl_WaCS_Multi[[#This Row],[4.0* Max Predicted Emissions Ratio]]</calculatedColumnFormula>
    </tableColumn>
    <tableColumn id="91" xr3:uid="{FBA51909-7544-4FC7-83D3-6BCB9A8E65A5}" name="3.5* Max CO2" dataDxfId="175">
      <calculatedColumnFormula>tbl_WaCS_Multi[[Predicted Emissions]:[Predicted Emissions]]*tbl_WaCS_Multi[[#This Row],[3.5* Max Predicted Emissions Ratio]]</calculatedColumnFormula>
    </tableColumn>
    <tableColumn id="92" xr3:uid="{0AAC2E6E-E376-4EDD-BF66-740C45E96A00}" name="3.0* Max CO2" dataDxfId="174">
      <calculatedColumnFormula>tbl_WaCS_Multi[[Predicted Emissions]:[Predicted Emissions]]*tbl_WaCS_Multi[[#This Row],[3.0* Max Predicted Emissions Ratio]]</calculatedColumnFormula>
    </tableColumn>
    <tableColumn id="93" xr3:uid="{BD1C6205-E050-43DD-B68C-D77E60E8BAE2}" name="2.5* Max CO2" dataDxfId="173">
      <calculatedColumnFormula>tbl_WaCS_Multi[[Predicted Emissions]:[Predicted Emissions]]*tbl_WaCS_Multi[[#This Row],[2.5* Max Predicted Emissions Ratio]]</calculatedColumnFormula>
    </tableColumn>
    <tableColumn id="94" xr3:uid="{2BEB958A-60EB-4B2E-A848-EBB15C942D69}" name="2.0* Max CO2" dataDxfId="172">
      <calculatedColumnFormula>tbl_WaCS_Multi[[Predicted Emissions]:[Predicted Emissions]]*tbl_WaCS_Multi[[#This Row],[2.0* Max Predicted Emissions Ratio]]</calculatedColumnFormula>
    </tableColumn>
    <tableColumn id="95" xr3:uid="{3D9B35CA-17C0-4D05-AD89-241BA23BA37D}" name="1.5* Max CO2" dataDxfId="171">
      <calculatedColumnFormula>tbl_WaCS_Multi[[Predicted Emissions]:[Predicted Emissions]]*tbl_WaCS_Multi[[#This Row],[1.5* Max Predicted Emissions Ratio]]</calculatedColumnFormula>
    </tableColumn>
    <tableColumn id="96" xr3:uid="{C458317C-EED8-4618-A04A-1DA366C0A114}" name="1.0* Max CO2" dataDxfId="170">
      <calculatedColumnFormula>tbl_WaCS_Multi[[Predicted Emissions]:[Predicted Emissions]]*tbl_WaCS_Multi[[#This Row],[1.0* Max Predicted Emissions Ratio]]</calculatedColumnFormula>
    </tableColumn>
    <tableColumn id="243" xr3:uid="{AF55C215-D4B2-4BD4-A935-86733DC03B66}" name="0.0* Max CO2" dataDxfId="169">
      <calculatedColumnFormula>tbl_WaCS_Multi[[Predicted Emissions]:[Predicted Emissions]]*tbl_WaCS_Multi[[#This Row],[0.0* Max Predicted Emissions Ratio]]</calculatedColumnFormula>
    </tableColumn>
    <tableColumn id="155" xr3:uid="{70844B99-E2DA-4D97-B8FE-54D84BA83748}" name="6.0* Max Energy (MJ)" dataDxfId="168">
      <calculatedColumnFormula>tbl_WaCS_Multi[[#This Row],[6.0* Max CO2]]/tbl_WaCS_Multi[[EffGHGMJ]:[EffGHGMJ]]</calculatedColumnFormula>
    </tableColumn>
    <tableColumn id="156" xr3:uid="{9AFCB235-F89C-47FF-AF1A-AF4D46CFDA45}" name="5.5* Max Energy (MJ)" dataDxfId="167">
      <calculatedColumnFormula>tbl_WaCS_Multi[[#This Row],[5.5* Max CO2]]/tbl_WaCS_Multi[[EffGHGMJ]:[EffGHGMJ]]</calculatedColumnFormula>
    </tableColumn>
    <tableColumn id="157" xr3:uid="{D72D3067-E457-4A6B-A31E-B6645C857325}" name="5.0* Max Energy (MJ)" dataDxfId="166">
      <calculatedColumnFormula>tbl_WaCS_Multi[[#This Row],[5.0* Max CO2]]/tbl_WaCS_Multi[[EffGHGMJ]:[EffGHGMJ]]</calculatedColumnFormula>
    </tableColumn>
    <tableColumn id="158" xr3:uid="{B82D7851-0BB6-4CC5-85FD-C7070BFDE35E}" name="4.5* Max Energy (MJ)" dataDxfId="165">
      <calculatedColumnFormula>tbl_WaCS_Multi[[#This Row],[4.5* Max CO2]]/tbl_WaCS_Multi[[EffGHGMJ]:[EffGHGMJ]]</calculatedColumnFormula>
    </tableColumn>
    <tableColumn id="159" xr3:uid="{753A4039-5518-4089-BD0C-C31A2204B386}" name="4.0* Max Energy (MJ)" dataDxfId="164">
      <calculatedColumnFormula>tbl_WaCS_Multi[[#This Row],[4.0* Max CO2]]/tbl_WaCS_Multi[[EffGHGMJ]:[EffGHGMJ]]</calculatedColumnFormula>
    </tableColumn>
    <tableColumn id="160" xr3:uid="{0ABDF201-F8AC-480E-A847-F38EF536B360}" name="3.5* Max Energy (MJ)" dataDxfId="163">
      <calculatedColumnFormula>tbl_WaCS_Multi[[#This Row],[3.5* Max CO2]]/tbl_WaCS_Multi[[EffGHGMJ]:[EffGHGMJ]]</calculatedColumnFormula>
    </tableColumn>
    <tableColumn id="161" xr3:uid="{45F3B694-B02D-4AB8-8D03-E8763B5C87E2}" name="3.0* Max Energy (MJ)" dataDxfId="162">
      <calculatedColumnFormula>tbl_WaCS_Multi[[#This Row],[3.0* Max CO2]]/tbl_WaCS_Multi[[EffGHGMJ]:[EffGHGMJ]]</calculatedColumnFormula>
    </tableColumn>
    <tableColumn id="162" xr3:uid="{D1CECCF3-9D57-48DA-A779-2F208F26F008}" name="2.5* Max Energy (MJ)" dataDxfId="161">
      <calculatedColumnFormula>tbl_WaCS_Multi[[#This Row],[2.5* Max CO2]]/tbl_WaCS_Multi[[EffGHGMJ]:[EffGHGMJ]]</calculatedColumnFormula>
    </tableColumn>
    <tableColumn id="163" xr3:uid="{4E30909E-EC41-4A36-8710-4F671AEE9CB9}" name="2.0* Max Energy (MJ)" dataDxfId="160">
      <calculatedColumnFormula>tbl_WaCS_Multi[[#This Row],[2.0* Max CO2]]/tbl_WaCS_Multi[[EffGHGMJ]:[EffGHGMJ]]</calculatedColumnFormula>
    </tableColumn>
    <tableColumn id="164" xr3:uid="{795B6DBA-66CE-4726-A6C5-CE0AAB545B67}" name="1.5* Max Energy (MJ)" dataDxfId="159">
      <calculatedColumnFormula>tbl_WaCS_Multi[[#This Row],[1.5* Max CO2]]/tbl_WaCS_Multi[[EffGHGMJ]:[EffGHGMJ]]</calculatedColumnFormula>
    </tableColumn>
    <tableColumn id="165" xr3:uid="{94EEBCE0-052F-475F-A513-74D7926F3256}" name="1.0* Max Energy (MJ)" dataDxfId="158">
      <calculatedColumnFormula>tbl_WaCS_Multi[[#This Row],[1.0* Max CO2]]/tbl_WaCS_Multi[[EffGHGMJ]:[EffGHGMJ]]</calculatedColumnFormula>
    </tableColumn>
    <tableColumn id="231" xr3:uid="{2100C1BE-DD66-410F-A42D-F6D0B0FEE44C}" name="0.0* Max Energy (MJ)" dataDxfId="157">
      <calculatedColumnFormula>tbl_WaCS_Multi[[#This Row],[0.0* Max CO2]]/tbl_WaCS_Multi[[EffGHGMJ]:[EffGHGMJ]]</calculatedColumnFormula>
    </tableColumn>
    <tableColumn id="97" xr3:uid="{3824F381-EDFB-47DE-924F-C96B8ABA5775}" name="6.0* Max Elec (kWh)" dataDxfId="156">
      <calculatedColumnFormula>ROUNDDOWN(tbl_WaCS_Multi[[#This Row],[6.0* Max Energy (MJ)]]*tbl_WaCS_Multi[[Electricity (%)]:[Electricity (%)]]/tbl_WaCS_Multi[[CFelec]:[CFelec]],0)</calculatedColumnFormula>
    </tableColumn>
    <tableColumn id="98" xr3:uid="{9D75F2B7-F9FC-4641-BF15-2F6E3DB4B146}" name="5.5* Max Elec (kWh)" dataDxfId="155">
      <calculatedColumnFormula>ROUNDDOWN(tbl_WaCS_Multi[[#This Row],[5.5* Max Energy (MJ)]]*tbl_WaCS_Multi[[Electricity (%)]:[Electricity (%)]]/tbl_WaCS_Multi[[CFelec]:[CFelec]],0)</calculatedColumnFormula>
    </tableColumn>
    <tableColumn id="99" xr3:uid="{A949ED22-0EE2-4804-B5EC-57161D3A5397}" name="5.0* Max Elec (kWh)" dataDxfId="154">
      <calculatedColumnFormula>ROUNDDOWN(tbl_WaCS_Multi[[#This Row],[5.0* Max Energy (MJ)]]*tbl_WaCS_Multi[[Electricity (%)]:[Electricity (%)]]/tbl_WaCS_Multi[[CFelec]:[CFelec]],0)</calculatedColumnFormula>
    </tableColumn>
    <tableColumn id="100" xr3:uid="{9AC15033-7904-46A0-97AC-4C667E09B939}" name="4.5* Max Elec (kWh)" dataDxfId="153">
      <calculatedColumnFormula>ROUNDDOWN(tbl_WaCS_Multi[[#This Row],[4.5* Max Energy (MJ)]]*tbl_WaCS_Multi[[Electricity (%)]:[Electricity (%)]]/tbl_WaCS_Multi[[CFelec]:[CFelec]],0)</calculatedColumnFormula>
    </tableColumn>
    <tableColumn id="101" xr3:uid="{7C30A672-1F81-4F85-ADE5-F48C7A35704E}" name="4.0* Max Elec (kWh)" dataDxfId="152">
      <calculatedColumnFormula>ROUNDDOWN(tbl_WaCS_Multi[[#This Row],[4.0* Max Energy (MJ)]]*tbl_WaCS_Multi[[Electricity (%)]:[Electricity (%)]]/tbl_WaCS_Multi[[CFelec]:[CFelec]],0)</calculatedColumnFormula>
    </tableColumn>
    <tableColumn id="102" xr3:uid="{151FE29E-6AAB-4583-9C23-56C997BF39D4}" name="3.5* Max Elec (kWh)" dataDxfId="151">
      <calculatedColumnFormula>ROUNDDOWN(tbl_WaCS_Multi[[#This Row],[3.5* Max Energy (MJ)]]*tbl_WaCS_Multi[[Electricity (%)]:[Electricity (%)]]/tbl_WaCS_Multi[[CFelec]:[CFelec]],0)</calculatedColumnFormula>
    </tableColumn>
    <tableColumn id="103" xr3:uid="{C3C0E027-E88A-4564-A1FD-B941B600F519}" name="3.0* Max Elec (kWh)" dataDxfId="150">
      <calculatedColumnFormula>ROUNDDOWN(tbl_WaCS_Multi[[#This Row],[3.0* Max Energy (MJ)]]*tbl_WaCS_Multi[[Electricity (%)]:[Electricity (%)]]/tbl_WaCS_Multi[[CFelec]:[CFelec]],0)</calculatedColumnFormula>
    </tableColumn>
    <tableColumn id="104" xr3:uid="{9E67C18C-F751-40AB-A6E5-48B9DB070257}" name="2.5* Max Elec (kWh)" dataDxfId="149">
      <calculatedColumnFormula>ROUNDDOWN(tbl_WaCS_Multi[[#This Row],[2.5* Max Energy (MJ)]]*tbl_WaCS_Multi[[Electricity (%)]:[Electricity (%)]]/tbl_WaCS_Multi[[CFelec]:[CFelec]],0)</calculatedColumnFormula>
    </tableColumn>
    <tableColumn id="105" xr3:uid="{6D74D915-4AB8-4272-857D-7D2F270CAAC3}" name="2.0* Max Elec (kWh)" dataDxfId="148">
      <calculatedColumnFormula>ROUNDDOWN(tbl_WaCS_Multi[[#This Row],[2.0* Max Energy (MJ)]]*tbl_WaCS_Multi[[Electricity (%)]:[Electricity (%)]]/tbl_WaCS_Multi[[CFelec]:[CFelec]],0)</calculatedColumnFormula>
    </tableColumn>
    <tableColumn id="106" xr3:uid="{987938EE-3725-4B30-99B0-CEA26014B5F2}" name="1.5* Max Elec (kWh)" dataDxfId="147">
      <calculatedColumnFormula>ROUNDDOWN(tbl_WaCS_Multi[[#This Row],[1.5* Max Energy (MJ)]]*tbl_WaCS_Multi[[Electricity (%)]:[Electricity (%)]]/tbl_WaCS_Multi[[CFelec]:[CFelec]],0)</calculatedColumnFormula>
    </tableColumn>
    <tableColumn id="107" xr3:uid="{0E4E122B-0384-4891-A3C6-E75905FAEAED}" name="1.0* Max Elec (kWh)" dataDxfId="146">
      <calculatedColumnFormula>ROUNDDOWN(tbl_WaCS_Multi[[#This Row],[1.0* Max Energy (MJ)]]*tbl_WaCS_Multi[[Electricity (%)]:[Electricity (%)]]/tbl_WaCS_Multi[[CFelec]:[CFelec]],0)</calculatedColumnFormula>
    </tableColumn>
    <tableColumn id="217" xr3:uid="{7266F365-7A9F-4B7C-A4B9-F8CF5BFF5710}" name="0.0* Max Elec (kWh)" dataDxfId="145">
      <calculatedColumnFormula>ROUNDDOWN(tbl_WaCS_Multi[[#This Row],[0.0* Max Energy (MJ)]]*tbl_WaCS_Multi[[Electricity (%)]:[Electricity (%)]]/tbl_WaCS_Multi[[CFelec]:[CFelec]],0)</calculatedColumnFormula>
    </tableColumn>
    <tableColumn id="108" xr3:uid="{5A9F5CFF-D2AF-41E4-8ACA-7A9D69E5199D}" name="6.0* Max Gas (MJ)" dataDxfId="144">
      <calculatedColumnFormula>ROUNDDOWN(tbl_WaCS_Multi[[#This Row],[6.0* Max Energy (MJ)]]*tbl_WaCS_Multi[[Gas (%)]:[Gas (%)]],0)</calculatedColumnFormula>
    </tableColumn>
    <tableColumn id="109" xr3:uid="{135E265E-5A17-49CF-894A-4F8CFD41AA51}" name="5.5* Max Gas (MJ)" dataDxfId="143">
      <calculatedColumnFormula>ROUNDDOWN(tbl_WaCS_Multi[[#This Row],[5.5* Max Energy (MJ)]]*tbl_WaCS_Multi[[Gas (%)]:[Gas (%)]],0)</calculatedColumnFormula>
    </tableColumn>
    <tableColumn id="110" xr3:uid="{2FFA2768-F58B-49B2-9D7D-FE8523DB0F8B}" name="5.0* Max Gas (MJ)" dataDxfId="142">
      <calculatedColumnFormula>ROUNDDOWN(tbl_WaCS_Multi[[#This Row],[5.0* Max Energy (MJ)]]*tbl_WaCS_Multi[[Gas (%)]:[Gas (%)]],0)</calculatedColumnFormula>
    </tableColumn>
    <tableColumn id="111" xr3:uid="{BD5A7727-C376-4929-854B-44E8CA82E499}" name="4.5* Max Gas (MJ)" dataDxfId="141">
      <calculatedColumnFormula>ROUNDDOWN(tbl_WaCS_Multi[[#This Row],[4.5* Max Energy (MJ)]]*tbl_WaCS_Multi[[Gas (%)]:[Gas (%)]],0)</calculatedColumnFormula>
    </tableColumn>
    <tableColumn id="112" xr3:uid="{F38944C6-A4CA-463F-9F61-895C82F44ACD}" name="4.0* Max Gas (MJ)" dataDxfId="140">
      <calculatedColumnFormula>ROUNDDOWN(tbl_WaCS_Multi[[#This Row],[4.0* Max Energy (MJ)]]*tbl_WaCS_Multi[[Gas (%)]:[Gas (%)]],0)</calculatedColumnFormula>
    </tableColumn>
    <tableColumn id="113" xr3:uid="{0C6F5B39-3024-4CAA-BCD3-6454C601174C}" name="3.5* Max Gas (MJ)" dataDxfId="139">
      <calculatedColumnFormula>ROUNDDOWN(tbl_WaCS_Multi[[#This Row],[3.5* Max Energy (MJ)]]*tbl_WaCS_Multi[[Gas (%)]:[Gas (%)]],0)</calculatedColumnFormula>
    </tableColumn>
    <tableColumn id="114" xr3:uid="{26F627A9-EED8-4855-908C-61EDE413345E}" name="3.0* Max Gas (MJ)" dataDxfId="138">
      <calculatedColumnFormula>ROUNDDOWN(tbl_WaCS_Multi[[#This Row],[3.0* Max Energy (MJ)]]*tbl_WaCS_Multi[[Gas (%)]:[Gas (%)]],0)</calculatedColumnFormula>
    </tableColumn>
    <tableColumn id="115" xr3:uid="{9EC7E9A5-7F9D-410B-A68B-0417EC846AEE}" name="2.5* Max Gas (MJ)" dataDxfId="137">
      <calculatedColumnFormula>ROUNDDOWN(tbl_WaCS_Multi[[#This Row],[2.5* Max Energy (MJ)]]*tbl_WaCS_Multi[[Gas (%)]:[Gas (%)]],0)</calculatedColumnFormula>
    </tableColumn>
    <tableColumn id="116" xr3:uid="{B579E42E-1FF9-4B88-9620-AB9F4E6FE4B1}" name="2.0* Max Gas (MJ)" dataDxfId="136">
      <calculatedColumnFormula>ROUNDDOWN(tbl_WaCS_Multi[[#This Row],[2.0* Max Energy (MJ)]]*tbl_WaCS_Multi[[Gas (%)]:[Gas (%)]],0)</calculatedColumnFormula>
    </tableColumn>
    <tableColumn id="117" xr3:uid="{B191D3E5-84A3-4ED9-A5EB-5E7FB3D10FA8}" name="1.5* Max Gas (MJ)" dataDxfId="135">
      <calculatedColumnFormula>ROUNDDOWN(tbl_WaCS_Multi[[#This Row],[1.5* Max Energy (MJ)]]*tbl_WaCS_Multi[[Gas (%)]:[Gas (%)]],0)</calculatedColumnFormula>
    </tableColumn>
    <tableColumn id="118" xr3:uid="{D2964038-61A4-4D60-9285-A98FC2237C61}" name="1.0* Max Gas (MJ)" dataDxfId="134">
      <calculatedColumnFormula>ROUNDDOWN(tbl_WaCS_Multi[[#This Row],[1.0* Max Energy (MJ)]]*tbl_WaCS_Multi[[Gas (%)]:[Gas (%)]],0)</calculatedColumnFormula>
    </tableColumn>
    <tableColumn id="216" xr3:uid="{88986A61-8275-4FF2-A190-CEEF76B6AB29}" name="0.0* Max Gas (MJ)" dataDxfId="133">
      <calculatedColumnFormula>ROUNDDOWN(tbl_WaCS_Multi[[#This Row],[0.0* Max Energy (MJ)]]*tbl_WaCS_Multi[[Gas (%)]:[Gas (%)]],0)</calculatedColumnFormula>
    </tableColumn>
    <tableColumn id="261" xr3:uid="{235EE29C-3B02-4680-B475-7B7012D0BD8C}" name="6.0* Max LPG (L)" dataDxfId="132">
      <calculatedColumnFormula>ROUNDDOWN(tbl_WaCS_Multi[[#This Row],[6.0* Max Energy (MJ)]]*tbl_WaCS_Multi[[LPG (%)]:[LPG (%)]]/tbl_WaCS_Multi[[CFlpg]:[CFlpg]],0)</calculatedColumnFormula>
    </tableColumn>
    <tableColumn id="262" xr3:uid="{98065DB7-E4FD-41B1-8C6E-C01A87ADA3D3}" name="5.5* Max LPG (L)" dataDxfId="131">
      <calculatedColumnFormula>ROUNDDOWN(tbl_WaCS_Multi[[#This Row],[5.5* Max Energy (MJ)]]*tbl_WaCS_Multi[[LPG (%)]:[LPG (%)]]/tbl_WaCS_Multi[[CFlpg]:[CFlpg]],0)</calculatedColumnFormula>
    </tableColumn>
    <tableColumn id="263" xr3:uid="{C1AF4363-4DC3-4B0E-B2BD-839D1D0FA1A3}" name="5.0* Max LPG (L)" dataDxfId="130">
      <calculatedColumnFormula>ROUNDDOWN(tbl_WaCS_Multi[[#This Row],[5.0* Max Energy (MJ)]]*tbl_WaCS_Multi[[LPG (%)]:[LPG (%)]]/tbl_WaCS_Multi[[CFlpg]:[CFlpg]],0)</calculatedColumnFormula>
    </tableColumn>
    <tableColumn id="264" xr3:uid="{CD98469F-0156-4B54-A613-40891CB7B390}" name="4.5* Max LPG (L)" dataDxfId="129">
      <calculatedColumnFormula>ROUNDDOWN(tbl_WaCS_Multi[[#This Row],[4.5* Max Energy (MJ)]]*tbl_WaCS_Multi[[LPG (%)]:[LPG (%)]]/tbl_WaCS_Multi[[CFlpg]:[CFlpg]],0)</calculatedColumnFormula>
    </tableColumn>
    <tableColumn id="265" xr3:uid="{428D765C-1BA2-4308-B649-2AD414F7A78B}" name="4.0* Max LPG (L)" dataDxfId="128">
      <calculatedColumnFormula>ROUNDDOWN(tbl_WaCS_Multi[[#This Row],[4.0* Max Energy (MJ)]]*tbl_WaCS_Multi[[LPG (%)]:[LPG (%)]]/tbl_WaCS_Multi[[CFlpg]:[CFlpg]],0)</calculatedColumnFormula>
    </tableColumn>
    <tableColumn id="266" xr3:uid="{9DB8D8F5-4B30-405D-9D3D-1BF411F74337}" name="3.5* Max LPG (L)" dataDxfId="127">
      <calculatedColumnFormula>ROUNDDOWN(tbl_WaCS_Multi[[#This Row],[3.5* Max Energy (MJ)]]*tbl_WaCS_Multi[[LPG (%)]:[LPG (%)]]/tbl_WaCS_Multi[[CFlpg]:[CFlpg]],0)</calculatedColumnFormula>
    </tableColumn>
    <tableColumn id="267" xr3:uid="{E680A7B9-992B-4DB5-97E8-16C2CA36B49A}" name="3.0* Max LPG (L)" dataDxfId="126">
      <calculatedColumnFormula>ROUNDDOWN(tbl_WaCS_Multi[[#This Row],[3.0* Max Energy (MJ)]]*tbl_WaCS_Multi[[LPG (%)]:[LPG (%)]]/tbl_WaCS_Multi[[CFlpg]:[CFlpg]],0)</calculatedColumnFormula>
    </tableColumn>
    <tableColumn id="268" xr3:uid="{F8580846-E4EA-418F-975E-F8AE20E8FDC7}" name="2.5* Max LPG (L)" dataDxfId="125">
      <calculatedColumnFormula>ROUNDDOWN(tbl_WaCS_Multi[[#This Row],[2.5* Max Energy (MJ)]]*tbl_WaCS_Multi[[LPG (%)]:[LPG (%)]]/tbl_WaCS_Multi[[CFlpg]:[CFlpg]],0)</calculatedColumnFormula>
    </tableColumn>
    <tableColumn id="269" xr3:uid="{DED1B085-8900-410B-B1EB-4D8082D1301E}" name="2.0* Max LPG (L)" dataDxfId="124">
      <calculatedColumnFormula>ROUNDDOWN(tbl_WaCS_Multi[[#This Row],[2.0* Max Energy (MJ)]]*tbl_WaCS_Multi[[LPG (%)]:[LPG (%)]]/tbl_WaCS_Multi[[CFlpg]:[CFlpg]],0)</calculatedColumnFormula>
    </tableColumn>
    <tableColumn id="270" xr3:uid="{13F0E013-D48F-47CE-B189-4821DCCA44B7}" name="1.5* Max LPG (L)" dataDxfId="123">
      <calculatedColumnFormula>ROUNDDOWN(tbl_WaCS_Multi[[#This Row],[1.5* Max Energy (MJ)]]*tbl_WaCS_Multi[[LPG (%)]:[LPG (%)]]/tbl_WaCS_Multi[[CFlpg]:[CFlpg]],0)</calculatedColumnFormula>
    </tableColumn>
    <tableColumn id="271" xr3:uid="{A1DC9C3E-11DD-4F4C-8338-7D794E84631A}" name="1.0* Max LPG (L)" dataDxfId="122">
      <calculatedColumnFormula>ROUNDDOWN(tbl_WaCS_Multi[[#This Row],[1.0* Max Energy (MJ)]]*tbl_WaCS_Multi[[LPG (%)]:[LPG (%)]]/tbl_WaCS_Multi[[CFlpg]:[CFlpg]],0)</calculatedColumnFormula>
    </tableColumn>
    <tableColumn id="272" xr3:uid="{1408F750-7F8B-48C5-A4A4-129EEEF39E18}" name="0.0* Max LPG (L)" dataDxfId="121">
      <calculatedColumnFormula>ROUNDDOWN(tbl_WaCS_Multi[[#This Row],[0.0* Max Energy (MJ)]]*tbl_WaCS_Multi[[LPG (%)]:[LPG (%)]]/tbl_WaCS_Multi[[CFlpg]:[CFlpg]],0)</calculatedColumnFormula>
    </tableColumn>
    <tableColumn id="119" xr3:uid="{1D850B02-2207-4C9A-8813-BDFEC97D7DCF}" name="6.0* Max Diesel (L)" dataDxfId="120">
      <calculatedColumnFormula>ROUNDDOWN(tbl_WaCS_Multi[[#This Row],[6.0* Max Energy (MJ)]]*tbl_WaCS_Multi[[Diesel (%)]:[Diesel (%)]]/tbl_WaCS_Multi[[CFdiesel]:[CFdiesel]],0)</calculatedColumnFormula>
    </tableColumn>
    <tableColumn id="120" xr3:uid="{1C2FB817-0670-44A2-9CAA-57EDFB314FCD}" name="5.5* Max Diesel (L)" dataDxfId="119">
      <calculatedColumnFormula>ROUNDDOWN(tbl_WaCS_Multi[[#This Row],[5.5* Max Energy (MJ)]]*tbl_WaCS_Multi[[Diesel (%)]:[Diesel (%)]]/tbl_WaCS_Multi[[CFdiesel]:[CFdiesel]],0)</calculatedColumnFormula>
    </tableColumn>
    <tableColumn id="121" xr3:uid="{F5009F18-71D1-48A0-813D-EB83421DF15A}" name="5.0* Max Diesel (L)" dataDxfId="118">
      <calculatedColumnFormula>ROUNDDOWN(tbl_WaCS_Multi[[#This Row],[5.0* Max Energy (MJ)]]*tbl_WaCS_Multi[[Diesel (%)]:[Diesel (%)]]/tbl_WaCS_Multi[[CFdiesel]:[CFdiesel]],0)</calculatedColumnFormula>
    </tableColumn>
    <tableColumn id="122" xr3:uid="{BCD075EA-0293-41B9-BD7D-E74D7E4079B4}" name="4.5* Max Diesel (L)" dataDxfId="117">
      <calculatedColumnFormula>ROUNDDOWN(tbl_WaCS_Multi[[#This Row],[4.5* Max Energy (MJ)]]*tbl_WaCS_Multi[[Diesel (%)]:[Diesel (%)]]/tbl_WaCS_Multi[[CFdiesel]:[CFdiesel]],0)</calculatedColumnFormula>
    </tableColumn>
    <tableColumn id="123" xr3:uid="{7CCA9062-6613-4724-B26D-D88845E46B21}" name="4.0* Max Diesel (L)" dataDxfId="116">
      <calculatedColumnFormula>ROUNDDOWN(tbl_WaCS_Multi[[#This Row],[4.0* Max Energy (MJ)]]*tbl_WaCS_Multi[[Diesel (%)]:[Diesel (%)]]/tbl_WaCS_Multi[[CFdiesel]:[CFdiesel]],0)</calculatedColumnFormula>
    </tableColumn>
    <tableColumn id="124" xr3:uid="{084D8DD8-3DB3-467D-9A2D-F7DE8D15522C}" name="3.5* Max Diesel (L)" dataDxfId="115">
      <calculatedColumnFormula>ROUNDDOWN(tbl_WaCS_Multi[[#This Row],[3.5* Max Energy (MJ)]]*tbl_WaCS_Multi[[Diesel (%)]:[Diesel (%)]]/tbl_WaCS_Multi[[CFdiesel]:[CFdiesel]],0)</calculatedColumnFormula>
    </tableColumn>
    <tableColumn id="125" xr3:uid="{FCCBCDE4-E914-41FC-AA34-A5CDD8181280}" name="3.0* Max Diesel (L)" dataDxfId="114">
      <calculatedColumnFormula>ROUNDDOWN(tbl_WaCS_Multi[[#This Row],[3.0* Max Energy (MJ)]]*tbl_WaCS_Multi[[Diesel (%)]:[Diesel (%)]]/tbl_WaCS_Multi[[CFdiesel]:[CFdiesel]],0)</calculatedColumnFormula>
    </tableColumn>
    <tableColumn id="126" xr3:uid="{34F5C3EA-5A4B-44F9-91CF-19CF3EBA591F}" name="2.5* Max Diesel (L)" dataDxfId="113">
      <calculatedColumnFormula>ROUNDDOWN(tbl_WaCS_Multi[[#This Row],[2.5* Max Energy (MJ)]]*tbl_WaCS_Multi[[Diesel (%)]:[Diesel (%)]]/tbl_WaCS_Multi[[CFdiesel]:[CFdiesel]],0)</calculatedColumnFormula>
    </tableColumn>
    <tableColumn id="127" xr3:uid="{31D9A0B0-4076-4E3C-BD81-DC91E57ED45E}" name="2.0* Max Diesel (L)" dataDxfId="112">
      <calculatedColumnFormula>ROUNDDOWN(tbl_WaCS_Multi[[#This Row],[2.0* Max Energy (MJ)]]*tbl_WaCS_Multi[[Diesel (%)]:[Diesel (%)]]/tbl_WaCS_Multi[[CFdiesel]:[CFdiesel]],0)</calculatedColumnFormula>
    </tableColumn>
    <tableColumn id="128" xr3:uid="{5EAC4F16-9E02-4374-BF7E-A803D9F40508}" name="1.5* Max Diesel (L)" dataDxfId="111">
      <calculatedColumnFormula>ROUNDDOWN(tbl_WaCS_Multi[[#This Row],[1.5* Max Energy (MJ)]]*tbl_WaCS_Multi[[Diesel (%)]:[Diesel (%)]]/tbl_WaCS_Multi[[CFdiesel]:[CFdiesel]],0)</calculatedColumnFormula>
    </tableColumn>
    <tableColumn id="129" xr3:uid="{9B2D37B1-9380-4C49-B117-893B06F0EC10}" name="1.0* Max Diesel (L)" dataDxfId="110">
      <calculatedColumnFormula>ROUNDDOWN(tbl_WaCS_Multi[[#This Row],[1.0* Max Energy (MJ)]]*tbl_WaCS_Multi[[Diesel (%)]:[Diesel (%)]]/tbl_WaCS_Multi[[CFdiesel]:[CFdiesel]],0)</calculatedColumnFormula>
    </tableColumn>
    <tableColumn id="215" xr3:uid="{9F30C8A7-E0D2-4B87-A5B9-1087C990D5B4}" name="0.0* Max Diesel (L)" dataDxfId="109">
      <calculatedColumnFormula>ROUNDDOWN(tbl_WaCS_Multi[[#This Row],[0.0* Max Energy (MJ)]]*tbl_WaCS_Multi[[Diesel (%)]:[Diesel (%)]]/tbl_WaCS_Multi[[CFdiesel]:[CFdiesel]],0)</calculatedColumnFormula>
    </tableColumn>
    <tableColumn id="171" xr3:uid="{A1B8CC6D-3B10-4551-B47A-C88FFA8A49CB}" name="FWD Scope 1,2&amp;3" dataDxfId="108">
      <calculatedColumnFormula>SUM(tbl_WaCS_Multi[[#This Row],[Electricity]]*tbl_WaCS_Multi[[#This Row],[SGEe Scopes 1,2&amp;3]],
tbl_WaCS_Multi[[#This Row],[Gas]]*tbl_WaCS_Multi[[#This Row],[SGEg Scopes 1,2&amp;3]],
tbl_WaCS_Multi[[#This Row],[LPG]]*tbl_WaCS_Multi[[#This Row],[SGEl Scopes 1,2&amp;3]],
tbl_WaCS_Multi[[#This Row],[Diesel]]*tbl_WaCS_Multi[[#This Row],[SGEd Scopes 1,2&amp;3]])</calculatedColumnFormula>
    </tableColumn>
    <tableColumn id="173" xr3:uid="{A4A0BA43-C9C6-4811-8AF7-86582B5F0891}" name="FWD Scope 1&amp;2" dataDxfId="107">
      <calculatedColumnFormula>SUM(tbl_WaCS_Multi[[#This Row],[Electricity]]*tbl_WaCS_Multi[[#This Row],[SGEe Scopes 1&amp;2]],
tbl_WaCS_Multi[[#This Row],[Gas]]*tbl_WaCS_Multi[[#This Row],[SGEg Scopes 1&amp;2]],
tbl_WaCS_Multi[[#This Row],[LPG]]*tbl_WaCS_Multi[[#This Row],[SGEl Scopes 1&amp;2]],
tbl_WaCS_Multi[[#This Row],[Diesel]]*tbl_WaCS_Multi[[#This Row],[SGEd Scopes 1&amp;2]])</calculatedColumnFormula>
    </tableColumn>
    <tableColumn id="48" xr3:uid="{07D4069B-735A-4612-A2BC-4EB7D77561C5}" name="Energy Star" dataDxfId="106">
      <calculatedColumnFormula>MAX(MIN(ROUNDDOWN(tbl_WaCS_Multi[[#This Row],[Energy Star Decimal]]*2,0)/2,6),0)</calculatedColumnFormula>
    </tableColumn>
    <tableColumn id="6" xr3:uid="{9CEF3328-9019-4677-A3B6-5D34F72AF647}" name="Energy Star Decimal" dataDxfId="105">
      <calculatedColumnFormula>7-3.75*tbl_WaCS_Multi[[#This Row],[Actual/Predicted Emissions]]/0.879</calculatedColumnFormula>
    </tableColumn>
    <tableColumn id="24" xr3:uid="{4121F566-D53B-47C6-B4C2-9C310645B02C}" name="Actual/Predicted Emissions" dataDxfId="104">
      <calculatedColumnFormula>tbl_WaCS_Multi[[#This Row],[Actual Emissions]]/tbl_WaCS_Multi[[#This Row],[Predicted Emissions]]</calculatedColumnFormula>
    </tableColumn>
    <tableColumn id="218" xr3:uid="{81318B1C-04AB-4DDD-8756-6BF118EAD9A4}" name="Actual Emissions" dataDxfId="103">
      <calculatedColumnFormula>SUM(tbl_WaCS_Multi[[#This Row],[Electricity]]*tbl_WaCS_Multi[[#This Row],[SGEe]],
tbl_WaCS_Multi[[#This Row],[Gas]]*tbl_WaCS_Multi[[#This Row],[SGEg]],
tbl_WaCS_Multi[[#This Row],[LPG]]*tbl_WaCS_Multi[[#This Row],[SGEl]]*tbl_WaCS_Multi[[#This Row],[CFlpg]],
tbl_WaCS_Multi[[#This Row],[Diesel]]*tbl_WaCS_Multi[[#This Row],[SGEd]])</calculatedColumnFormula>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D50EA9-1589-4AF3-BC53-029A32CFF2B6}" name="tbl_Office_Coefficients" displayName="tbl_Office_Coefficients" ref="A207:G215" totalsRowShown="0" headerRowDxfId="102" dataDxfId="101" tableBorderDxfId="100" headerRowCellStyle="Normal 2">
  <autoFilter ref="A207:G215" xr:uid="{63D50EA9-1589-4AF3-BC53-029A32CFF2B6}"/>
  <tableColumns count="7">
    <tableColumn id="1" xr3:uid="{E9EF7B36-A0C4-4B63-8C5E-FA2BD2A0BC3D}" name="State" dataDxfId="99" dataCellStyle="Normal 2"/>
    <tableColumn id="2" xr3:uid="{91A76E8C-ED4A-459C-9D37-29E9A4CADE02}" name="Whole building A" dataDxfId="98" dataCellStyle="Normal 2"/>
    <tableColumn id="3" xr3:uid="{B3729757-7583-4005-97AC-D8249BBACCB2}" name="Whole building B" dataDxfId="97" dataCellStyle="Normal 2"/>
    <tableColumn id="4" xr3:uid="{15A615B4-7A88-4168-A22C-65FA76625BCF}" name="Base building A" dataDxfId="96" dataCellStyle="Normal 2"/>
    <tableColumn id="5" xr3:uid="{A12187B3-81DF-45CE-A9BF-2F8B4DE8783C}" name="Base building B" dataDxfId="95" dataCellStyle="Normal 2"/>
    <tableColumn id="6" xr3:uid="{96D12566-7388-4441-A0E7-CBC017ACD881}" name="Tenancy A" dataDxfId="94" dataCellStyle="Normal 2"/>
    <tableColumn id="7" xr3:uid="{D3388727-EDC3-4514-B1FC-B1F0A1EDAE42}" name="Tenancy B" dataDxfId="93" dataCellStyle="Normal 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C9AE17D-4B80-4B6A-A01A-4AFFA0785853}" name="tbl_Apartment_Coefficients" displayName="tbl_Apartment_Coefficients" ref="A57:C74" totalsRowShown="0" headerRowDxfId="92" dataDxfId="91" headerRowCellStyle="Normal 2" dataCellStyle="Normal 2">
  <autoFilter ref="A57:C74" xr:uid="{3C9AE17D-4B80-4B6A-A01A-4AFFA0785853}"/>
  <tableColumns count="3">
    <tableColumn id="1" xr3:uid="{35118696-7C25-4BCF-AA94-A56F3FCC9A2F}" name="Description" dataDxfId="90" dataCellStyle="Normal 2"/>
    <tableColumn id="2" xr3:uid="{A0DDD178-9554-4860-97AE-B6A24613EE47}" name="Coefficient" dataDxfId="89" dataCellStyle="Normal 2"/>
    <tableColumn id="3" xr3:uid="{97D0EF93-894E-429A-BB3A-2226BCEAB98C}" name="Value" dataDxfId="88" dataCellStyle="Normal 2"/>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2C41178-F2DC-46E3-B946-50BDF05BA5A9}" name="tbl_GHG_State_Factor" displayName="tbl_GHG_State_Factor" ref="A6:E14" totalsRowShown="0" headerRowDxfId="87" dataDxfId="86" headerRowBorderDxfId="84" tableBorderDxfId="85" totalsRowBorderDxfId="83">
  <autoFilter ref="A6:E14" xr:uid="{12C41178-F2DC-46E3-B946-50BDF05BA5A9}"/>
  <sortState xmlns:xlrd2="http://schemas.microsoft.com/office/spreadsheetml/2017/richdata2" ref="A7:E14">
    <sortCondition ref="A7:A14"/>
  </sortState>
  <tableColumns count="5">
    <tableColumn id="1" xr3:uid="{80EB30BD-05D8-422E-91F9-07FC8D8BFC03}" name="Premise state" dataDxfId="82" dataCellStyle="Normal 6"/>
    <tableColumn id="2" xr3:uid="{DE660EB8-8767-49D6-9B7B-CD3FFF84C487}" name="Hotel" dataDxfId="81" dataCellStyle="Normal 6"/>
    <tableColumn id="3" xr3:uid="{91CF7780-7C10-4F6B-855A-AA237CA2641A}" name="Apartment" dataDxfId="80" dataCellStyle="Normal 6"/>
    <tableColumn id="4" xr3:uid="{8F374783-6237-4C25-98C3-A3723D00F12C}" name="Hotel Raw Zy" dataDxfId="79" dataCellStyle="Normal 6">
      <calculatedColumnFormula>SGEx!L9</calculatedColumnFormula>
    </tableColumn>
    <tableColumn id="5" xr3:uid="{BC346699-F93C-4763-9596-A98155200391}" name="Apartment Raw Zy" dataDxfId="78" dataCellStyle="Normal 6">
      <calculatedColumnFormula>SGEx!$M$9</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C80E3E0-0D2D-4FA5-8CFC-54802F402994}" name="tbl_FF_Lookup" displayName="tbl_FF_Lookup" ref="A19:B24" totalsRowShown="0" headerRowDxfId="77" dataDxfId="76" headerRowCellStyle="Normal 6" dataCellStyle="Normal 6">
  <autoFilter ref="A19:B24" xr:uid="{CC80E3E0-0D2D-4FA5-8CFC-54802F402994}"/>
  <tableColumns count="2">
    <tableColumn id="1" xr3:uid="{0B499978-5DCD-4D1D-9888-05E9B3FCA78E}" name="Tool" dataDxfId="75" dataCellStyle="Normal 6"/>
    <tableColumn id="2" xr3:uid="{3C8BF769-1D96-4223-AD48-4489AC1A74CF}" name="FF" dataDxfId="74" dataCellStyle="Normal 6"/>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8F23911-D972-42F1-A433-005E0897593D}" name="tbl_Hospital_CPeer_Energy_Corrections" displayName="tbl_Hospital_CPeer_Energy_Corrections" ref="A129:B132" totalsRowShown="0" headerRowDxfId="73" dataDxfId="72">
  <autoFilter ref="A129:B132" xr:uid="{48F23911-D972-42F1-A433-005E0897593D}"/>
  <tableColumns count="2">
    <tableColumn id="1" xr3:uid="{4E193947-1368-4F24-893A-A4CCC9B62FAD}" name="Minor Hospital Correction Energy" dataDxfId="71"/>
    <tableColumn id="2" xr3:uid="{B6731506-BCA2-4CEA-9291-1BE312939E67}" name="Correction" dataDxfId="70"/>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D0F86B2-52A7-43B6-A8FD-DE0D41376291}" name="tbl_Hospital_CNational_Lists" displayName="tbl_Hospital_CNational_Lists" ref="A134:E141" totalsRowShown="0" headerRowDxfId="69" dataDxfId="68" tableBorderDxfId="67">
  <autoFilter ref="A134:E141" xr:uid="{9D0F86B2-52A7-43B6-A8FD-DE0D41376291}"/>
  <tableColumns count="5">
    <tableColumn id="1" xr3:uid="{85D7810B-C0A7-4612-B4E1-679794A3BBD9}" name="State" dataDxfId="66"/>
    <tableColumn id="2" xr3:uid="{55CF0AC0-F381-405A-8745-156CE6058D98}" name="Cnational_2016" dataDxfId="65"/>
    <tableColumn id="3" xr3:uid="{F0D8AC8E-E0F9-4910-941C-DA927A547778}" name="Cnational_2020" dataDxfId="64"/>
    <tableColumn id="4" xr3:uid="{F371221F-2CE7-4D07-889A-ABCB2FC8AC72}" name="Cstate" dataDxfId="63"/>
    <tableColumn id="5" xr3:uid="{2B9F8634-375E-41CA-877E-4DFC150464F8}" name="Ccentering" dataDxfId="6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B71AB0E-EB38-40D2-AFB5-83B9E9BF2A51}" name="tbl_Hospital_CPeer_Water_Corrections" displayName="tbl_Hospital_CPeer_Water_Corrections" ref="A161:B162" totalsRowShown="0" headerRowDxfId="61" dataDxfId="60">
  <autoFilter ref="A161:B162" xr:uid="{AB71AB0E-EB38-40D2-AFB5-83B9E9BF2A51}"/>
  <tableColumns count="2">
    <tableColumn id="1" xr3:uid="{FE4C3DB8-6B9B-4D3E-BDAC-51FD6DD79E8B}" name="Minor Hospital Correction Water" dataDxfId="59"/>
    <tableColumn id="2" xr3:uid="{8A0063DB-162B-403C-92D5-D76DBC1C19CC}" name="Correction" dataDxfId="5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F54555D-B8F7-4388-9762-F9362DCAA11E}" name="tbl_Data_Centres_Multi" displayName="tbl_Data_Centres_Multi" ref="A3:EM6" totalsRowShown="0" headerRowDxfId="1717" dataDxfId="1716" tableBorderDxfId="1715">
  <autoFilter ref="A3:EM6" xr:uid="{912DCB91-0EE1-4B70-BDB9-4E27D3EB38A8}"/>
  <tableColumns count="143">
    <tableColumn id="222" xr3:uid="{8A095B8C-DCC9-4C7E-A241-46015531A222}" name="Target Energy" dataDxfId="1714"/>
    <tableColumn id="2" xr3:uid="{0D93CD63-02D5-4C9F-B70F-A316BC55312E}" name="Rating Type" dataDxfId="1713">
      <calculatedColumnFormula>Hotel_AAA_Star_Rating</calculatedColumnFormula>
    </tableColumn>
    <tableColumn id="1" xr3:uid="{C57BBFB7-BF9C-4A23-B3A3-6C3F38EBA6CE}" name="Postcode" dataDxfId="1712"/>
    <tableColumn id="3" xr3:uid="{77D55805-B2CB-4B82-AA3B-C069D33721A4}" name="Pcapacity" dataDxfId="1711">
      <calculatedColumnFormula>Hotel_Guest_Rooms</calculatedColumnFormula>
    </tableColumn>
    <tableColumn id="4" xr3:uid="{C717AAA5-ABCF-4323-9D9F-64C8E1E3E75A}" name="Scapacity" dataDxfId="1710">
      <calculatedColumnFormula>Hotel_Full_Laundry_Rooms</calculatedColumnFormula>
    </tableColumn>
    <tableColumn id="130" xr3:uid="{61E4D45A-D379-48DD-BA69-147C00C8A667}" name="Rating Period" dataDxfId="1709"/>
    <tableColumn id="148" xr3:uid="{BADB6986-021C-4A2D-AEB1-AD6D3E5C844A}" name="%HRMetered" dataDxfId="1708" dataCellStyle="Percent">
      <calculatedColumnFormula>Hotel_Function_Room_Seats</calculatedColumnFormula>
    </tableColumn>
    <tableColumn id="5" xr3:uid="{01D33A79-7F33-4945-B28A-FF4CD8FFA8B8}" name="Assessable IT Energy" dataDxfId="1707">
      <calculatedColumnFormula>Hotel_Heated_Pool_Area</calculatedColumnFormula>
    </tableColumn>
    <tableColumn id="141" xr3:uid="{DB911929-5CE3-4ABC-A547-C96CC6250CC9}" name="Electricity (%)" dataDxfId="1706"/>
    <tableColumn id="143" xr3:uid="{0F2F4AF9-8408-40CB-9D96-2823DBDD19CF}" name="Diesel (%)" dataDxfId="1705"/>
    <tableColumn id="13" xr3:uid="{73D7C5B0-1956-4E29-8239-40728ABDD97C}" name="Energy Benchmark Factor" dataDxfId="1704">
      <calculatedColumnFormula>tbl_Data_Centres_Multi[[#This Row],[Target Residual (p)]]</calculatedColumnFormula>
    </tableColumn>
    <tableColumn id="224" xr3:uid="{79B3216C-DF6B-4163-B34F-232EBCB98992}" name="Predicted Ave Emissions" dataDxfId="1703">
      <calculatedColumnFormula>tbl_Data_Centres_Multi[[#This Row],[er]]</calculatedColumnFormula>
    </tableColumn>
    <tableColumn id="225" xr3:uid="{2A816ABB-A606-46E6-B437-C9522C889FFE}" name="Max Emissions at Target" dataDxfId="1702">
      <calculatedColumnFormula>IF(tbl_Data_Centres_Multi[[#This Row],[Rating Type]]="IT Equipment",tbl_Data_Centres_Multi[[#This Row],[Target Rating Period Max IT CO2 ]],tbl_Data_Centres_Multi[[#This Row],[Target Max CO2]])</calculatedColumnFormula>
    </tableColumn>
    <tableColumn id="226" xr3:uid="{81EECF23-4BC8-4CBD-8602-DAAFDD2EBD23}" name="Actual Scope 1,2&amp;3 at Target" dataDxfId="1701">
      <calculatedColumnFormula>tbl_Data_Centres_Multi[[#This Row],[Target Scopes 1,2&amp;3]]</calculatedColumnFormula>
    </tableColumn>
    <tableColumn id="227" xr3:uid="{E5A6DE1E-49C0-4E60-B067-C50EB927A13B}" name="Actual Scope 1&amp;2 at Targe" dataDxfId="1700">
      <calculatedColumnFormula>tbl_Data_Centres_Multi[[#This Row],[Target Scopes 1&amp;2]]</calculatedColumnFormula>
    </tableColumn>
    <tableColumn id="228" xr3:uid="{12D8D75A-531C-44A7-9E00-57A7A48F93EF}" name="Max Elec (kWh) at Target" dataDxfId="1699">
      <calculatedColumnFormula>IF(tbl_Data_Centres_Multi[[#This Row],[Rating Type]]="IT Equipment",tbl_Data_Centres_Multi[[#This Row],[Target Rating Period Max IT Elec (kWh)]],tbl_Data_Centres_Multi[[#This Row],[Target Max Elec (kWh)]])</calculatedColumnFormula>
    </tableColumn>
    <tableColumn id="230" xr3:uid="{DE7D18D3-0F32-4E99-9EF8-E46F8C7FCCCA}" name="Max Diesel (L) at Target" dataDxfId="1698">
      <calculatedColumnFormula>tbl_Data_Centres_Multi[[#This Row],[Target Max Diesel (L)]]</calculatedColumnFormula>
    </tableColumn>
    <tableColumn id="12" xr3:uid="{F1F0498C-91DB-4837-8028-A544FA72B251}" name="Electricity" dataDxfId="1697"/>
    <tableColumn id="14" xr3:uid="{584765C7-B1B2-456F-86C6-279CFDE30092}" name="Diesel" dataDxfId="1696"/>
    <tableColumn id="15" xr3:uid="{57400CDD-FF68-4D23-9EC6-03A4778F8581}" name="GP" dataDxfId="1695"/>
    <tableColumn id="19" xr3:uid="{A8421088-6EF8-4947-A16C-ED1E4AC2E2EC}" name="State" dataDxfId="1694">
      <calculatedColumnFormula>INDEX(tbl_Climate_Lookup[],MATCH(tbl_Data_Centres_Multi[[Postcode]:[Postcode]],tbl_Climate_Lookup[[Postcode]:[Postcode]],0),MATCH(tbl_Data_Centres_Multi[[#Headers],[State]],tbl_Climate_Lookup[#Headers],0))</calculatedColumnFormula>
    </tableColumn>
    <tableColumn id="20" xr3:uid="{8A72C743-4A88-473A-91E5-46BBE435AFBA}" name="Climate zone" dataDxfId="1693">
      <calculatedColumnFormula>INDEX(tbl_Climate_Lookup[],MATCH(tbl_Data_Centres_Multi[[Postcode]:[Postcode]],tbl_Climate_Lookup[[Postcode]:[Postcode]],0),MATCH(tbl_Data_Centres_Multi[[#Headers],[Climate zone]],tbl_Climate_Lookup[#Headers],0))</calculatedColumnFormula>
    </tableColumn>
    <tableColumn id="21" xr3:uid="{117EC118-16EC-462F-9399-C550067B8F88}" name="HDD" dataDxfId="1692">
      <calculatedColumnFormula>INDEX(tbl_Climate_Lookup[],MATCH(tbl_Data_Centres_Multi[[Postcode]:[Postcode]],tbl_Climate_Lookup[[Postcode]:[Postcode]],0),MATCH(tbl_Data_Centres_Multi[[#Headers],[HDD]],tbl_Climate_Lookup[#Headers],0))</calculatedColumnFormula>
    </tableColumn>
    <tableColumn id="22" xr3:uid="{AA68CD75-FF0F-4383-B219-F70D4F95EE3B}" name="CDD" dataDxfId="1691">
      <calculatedColumnFormula>INDEX(tbl_Climate_Lookup[],MATCH(tbl_Data_Centres_Multi[[Postcode]:[Postcode]],tbl_Climate_Lookup[[Postcode]:[Postcode]],0),MATCH(tbl_Data_Centres_Multi[[#Headers],[CDD]],tbl_Climate_Lookup[#Headers],0))</calculatedColumnFormula>
    </tableColumn>
    <tableColumn id="25" xr3:uid="{2BCB0CDA-16E7-45BC-B72E-9A7EF020939E}" name="SGEe" dataDxfId="1690">
      <calculatedColumnFormula>INDEX(tbl_SGE_2020[],MATCH(tbl_Data_Centres_Multi[[State]:[State]],tbl_SGE_2020[[State]:[State]],0),MATCH(tbl_Data_Centres_Multi[[#Headers],[SGEe]],tbl_SGE_2020[#Headers],0))</calculatedColumnFormula>
    </tableColumn>
    <tableColumn id="26" xr3:uid="{6F6E5308-3ECA-42C2-86B5-917B3B027578}" name="SGEg" dataDxfId="1689">
      <calculatedColumnFormula>INDEX(tbl_SGE_2020[],MATCH(tbl_Data_Centres_Multi[[State]:[State]],tbl_SGE_2020[[State]:[State]],0),MATCH(tbl_Data_Centres_Multi[[#Headers],[SGEg]],tbl_SGE_2020[#Headers],0))</calculatedColumnFormula>
    </tableColumn>
    <tableColumn id="27" xr3:uid="{1E91CA31-9269-4B05-9A41-6A31B48BDEFE}" name="SGEd" dataDxfId="1688">
      <calculatedColumnFormula>INDEX(tbl_SGE_2020[],MATCH(tbl_Data_Centres_Multi[[State]:[State]],tbl_SGE_2020[[State]:[State]],0),MATCH(tbl_Data_Centres_Multi[[#Headers],[SGEd]],tbl_SGE_2020[#Headers],0))</calculatedColumnFormula>
    </tableColumn>
    <tableColumn id="145" xr3:uid="{1CFB4F0A-3F69-4650-9DF1-B80AF06D3629}" name="CFelec" dataDxfId="1687"/>
    <tableColumn id="146" xr3:uid="{38756322-218B-4A24-BE21-9E674C424254}" name="CFdiesel" dataDxfId="1686"/>
    <tableColumn id="151" xr3:uid="{97915D1D-9DA2-432C-AD8A-755709BDF914}" name="SGEeMJ" dataDxfId="1685">
      <calculatedColumnFormula>tbl_Data_Centres_Multi[[#This Row],[SGEe]]/tbl_Data_Centres_Multi[[#This Row],[CFelec]]</calculatedColumnFormula>
    </tableColumn>
    <tableColumn id="152" xr3:uid="{623FF618-61F8-4568-A161-5CFA3610B497}" name="SGEdMJ" dataDxfId="1684">
      <calculatedColumnFormula>tbl_Data_Centres_Multi[[#This Row],[SGEd]]/tbl_Data_Centres_Multi[[#This Row],[CFdiesel]]</calculatedColumnFormula>
    </tableColumn>
    <tableColumn id="154" xr3:uid="{9B78EE84-638C-43A2-8549-0FC19D7DDBBA}" name="EffGHG" dataDxfId="1683">
      <calculatedColumnFormula>IF(tbl_Data_Centres_Multi[[#This Row],[Rating Type]]="IT Equipment",
tbl_Data_Centres_Multi[[#This Row],[SGEeMJ]],
IF(SUM(tbl_Data_Centres_Multi[[#This Row],[Electricity (%)]:[Diesel (%)]])=1,
SUM(tbl_Data_Centres_Multi[[#This Row],[Electricity (%)]]*tbl_Data_Centres_Multi[[#This Row],[SGEeMJ]],
tbl_Data_Centres_Multi[[#This Row],[Diesel (%)]]*tbl_Data_Centres_Multi[[#This Row],[SGEdMJ]]),
0))</calculatedColumnFormula>
    </tableColumn>
    <tableColumn id="244" xr3:uid="{EFD2FDC3-048A-4957-B7A5-93F8E640F23A}" name="SGEe Scopes 1,2&amp;3" dataDxfId="1682">
      <calculatedColumnFormula>INDEX(tbl_NGA_Factors_2021[],MATCH(tbl_Data_Centres_Multi[[State]:[State]],tbl_NGA_Factors_2021[[State]:[State]],0),MATCH(tbl_Data_Centres_Multi[[#Headers],[SGEe Scopes 1,2&amp;3]],tbl_NGA_Factors_2021[#Headers],0))</calculatedColumnFormula>
    </tableColumn>
    <tableColumn id="245" xr3:uid="{37A0B2A7-F5A7-4180-AC3B-C8B9DE79F7C9}" name="SGEg Scopes 1,2&amp;3" dataDxfId="1681">
      <calculatedColumnFormula>INDEX(tbl_NGA_Factors_2021[],MATCH(tbl_Data_Centres_Multi[[State]:[State]],tbl_NGA_Factors_2021[[State]:[State]],0),MATCH(tbl_Data_Centres_Multi[[#Headers],[SGEg Scopes 1,2&amp;3]],tbl_NGA_Factors_2021[#Headers],0))</calculatedColumnFormula>
    </tableColumn>
    <tableColumn id="246" xr3:uid="{5506B5B4-F2D9-437E-8868-DDEE3A29744F}" name="SGEd Scopes 1,2&amp;3" dataDxfId="1680">
      <calculatedColumnFormula>INDEX(tbl_NGA_Factors_2021[],MATCH(tbl_Data_Centres_Multi[[State]:[State]],tbl_NGA_Factors_2021[[State]:[State]],0),MATCH(tbl_Data_Centres_Multi[[#Headers],[SGEd Scopes 1,2&amp;3]],tbl_NGA_Factors_2021[#Headers],0))</calculatedColumnFormula>
    </tableColumn>
    <tableColumn id="248" xr3:uid="{CBDECC84-4D69-4066-9268-60EE5C5B22F5}" name="SGEe Scopes 1&amp;2" dataDxfId="1679">
      <calculatedColumnFormula>INDEX(tbl_NGA_Factors_2021[],MATCH(tbl_Data_Centres_Multi[[State]:[State]],tbl_NGA_Factors_2021[[State]:[State]],0),MATCH(tbl_Data_Centres_Multi[[#Headers],[SGEe Scopes 1&amp;2]],tbl_NGA_Factors_2021[#Headers],0))</calculatedColumnFormula>
    </tableColumn>
    <tableColumn id="249" xr3:uid="{1C881D54-40E8-48FF-B150-75E059C55976}" name="SGEg Scopes 1&amp;2" dataDxfId="1678">
      <calculatedColumnFormula>INDEX(tbl_NGA_Factors_2021[],MATCH(tbl_Data_Centres_Multi[[State]:[State]],tbl_NGA_Factors_2021[[State]:[State]],0),MATCH(tbl_Data_Centres_Multi[[#Headers],[SGEg Scopes 1&amp;2]],tbl_NGA_Factors_2021[#Headers],0))</calculatedColumnFormula>
    </tableColumn>
    <tableColumn id="250" xr3:uid="{8851C4DE-9D6E-4964-8494-2B3434A504C0}" name="SGEd Scopes 1&amp;2" dataDxfId="1677">
      <calculatedColumnFormula>INDEX(tbl_NGA_Factors_2021[],MATCH(tbl_Data_Centres_Multi[[State]:[State]],tbl_NGA_Factors_2021[[State]:[State]],0),MATCH(tbl_Data_Centres_Multi[[#Headers],[SGEd Scopes 1&amp;2]],tbl_NGA_Factors_2021[#Headers],0))</calculatedColumnFormula>
    </tableColumn>
    <tableColumn id="132" xr3:uid="{A495C251-64AB-40E0-8762-070CE94219C3}" name="er" dataDxfId="1676">
      <calculatedColumnFormula>IF(tbl_Data_Centres_Multi[[#This Row],[Rating Type]]="IT Equipment",(tbl_Data_Centres_Multi[[#This Row],[Pcapacity]]*Data_Centre_C_Processing+tbl_Data_Centres_Multi[[#This Row],[Scapacity]]*Data_Centre_C_Storage)*tbl_Data_Centres_Multi[[#This Row],[SGEe]]*Data_Centre_C_IT_Median_Residual_Correction,
IF(tbl_Data_Centres_Multi[[#This Row],[Rating Type]]="Infrastructure",(Data_Centre_C_Infrastructure_Median_Emissions_Index-1)*tbl_Data_Centres_Multi[[#This Row],[EIT(Inf)]]+tbl_Data_Centres_Multi[[#This Row],[Climate Correction Infrastructure]]-tbl_Data_Centres_Multi[[#This Row],[Condenser Water Correction for Infrastructure]],Data_Centre_C_Infrastructure_Median_Emissions_Index*tbl_Data_Centres_Multi[[#This Row],[eIT(IT)]]+tbl_Data_Centres_Multi[[#This Row],[Climate Correction Whole Facility]]-tbl_Data_Centres_Multi[[#This Row],[Condenser Water Correction for Whole Facility]]))</calculatedColumnFormula>
    </tableColumn>
    <tableColumn id="28" xr3:uid="{DE259D97-33E5-4761-A13D-CF098AB17BE7}" name="EIT(Inf)" dataDxfId="1675">
      <calculatedColumnFormula>tbl_Data_Centres_Multi[[#This Row],[Assessable IT Energy]]*tbl_Data_Centres_Multi[[#This Row],[SGEe]]</calculatedColumnFormula>
    </tableColumn>
    <tableColumn id="23" xr3:uid="{251CE168-31FD-4085-9970-063569173F68}" name="EITkWhBenchmark" dataDxfId="1674">
      <calculatedColumnFormula>SUM(tbl_Data_Centres_Multi[[#This Row],[Pcapacity]]*Data_Centre_C_Processing,tbl_Data_Centres_Multi[[#This Row],[Scapacity]]*Data_Centre_C_Storage)*Data_Centre_C_IT_Median_Residual_Correction</calculatedColumnFormula>
    </tableColumn>
    <tableColumn id="34" xr3:uid="{22529F4F-468D-42E8-85E1-5E74DF004143}" name="eIT(IT)" dataDxfId="1673">
      <calculatedColumnFormula>SUM(tbl_Data_Centres_Multi[[#This Row],[Pcapacity]]*Data_Centre_C_Processing,tbl_Data_Centres_Multi[[#This Row],[Scapacity]]*Data_Centre_C_Storage)*tbl_Data_Centres_Multi[[#This Row],[SGEe]]*Data_Centre_C_IT_Median_Residual_Correction</calculatedColumnFormula>
    </tableColumn>
    <tableColumn id="35" xr3:uid="{9C5F8D2A-1EAE-4EC7-B93B-8A048BE68F55}" name="Climate Correction Infrastructure" dataDxfId="1672">
      <calculatedColumnFormula>Data_Centre_C_Infrastructure_Median_Emissions_Index*tbl_Data_Centres_Multi[[#This Row],[EIT(Inf)]]*tbl_Data_Centres_Multi[[#This Row],[%HRMetered]]/Data_Centre_C_Ave_CRAC_Performance*Data_Centre_C_CRAC_Increase_Per_DEG*(tbl_Data_Centres_Multi[[#This Row],[CDD]]-Data_Centre_C_Average_Sample_CDD)/365</calculatedColumnFormula>
    </tableColumn>
    <tableColumn id="133" xr3:uid="{79BB9E41-96D7-49F8-937E-D6DBD821E8F4}" name="Condenser Water Correction for Infrastructure" dataDxfId="1671">
      <calculatedColumnFormula>Data_Centre_C_Heat_Rejection_Plant_Per_Heat_Rejected*Data_Centre_C_Infrastructure_Median_Emissions_Index*tbl_Data_Centres_Multi[[#This Row],[EIT(Inf)]]*(1-tbl_Data_Centres_Multi[[#This Row],[%HRMetered]])</calculatedColumnFormula>
    </tableColumn>
    <tableColumn id="205" xr3:uid="{59A87C1C-2AB6-4D67-80BC-D63F43207B24}" name="Climate Correction Whole Facility" dataDxfId="1670">
      <calculatedColumnFormula>Data_Centre_C_Infrastructure_Median_Emissions_Index*tbl_Data_Centres_Multi[[#This Row],[eIT(IT)]]*tbl_Data_Centres_Multi[[#This Row],[%HRMetered]]/Data_Centre_C_Ave_CRAC_Performance*Data_Centre_C_CRAC_Increase_Per_DEG*(tbl_Data_Centres_Multi[[#This Row],[CDD]]-Data_Centre_C_Average_Sample_CDD)/365</calculatedColumnFormula>
    </tableColumn>
    <tableColumn id="29" xr3:uid="{7C7517F1-02A4-4533-9FE1-D90F41AA2500}" name="Condenser Water Correction for Whole Facility" dataDxfId="1669">
      <calculatedColumnFormula>Data_Centre_C_Heat_Rejection_Plant_Per_Heat_Rejected*Data_Centre_C_Infrastructure_Median_Emissions_Index*tbl_Data_Centres_Multi[[#This Row],[eIT(IT)]]*(1-tbl_Data_Centres_Multi[[#This Row],[%HRMetered]])</calculatedColumnFormula>
    </tableColumn>
    <tableColumn id="131" xr3:uid="{E193D49A-1965-4D0A-A050-FAD9B1DC4BD4}" name="Rating Band Coefficient" dataDxfId="1668">
      <calculatedColumnFormula>IF(tbl_Data_Centres_Multi[[#This Row],[Rating Type]]="IT Equipment",Data_Centre_C_IT_Workload,
IF(tbl_Data_Centres_Multi[[#This Row],[Rating Type]]="Infrastructure",Data_Centre_C_Infrastructure,
Data_Centre_C_WholeFacility))</calculatedColumnFormula>
    </tableColumn>
    <tableColumn id="169" xr3:uid="{EF953EF9-3B93-4FBF-9222-21678EC976F1}" name="Target Residual (p)" dataDxfId="1667">
      <calculatedColumnFormula>(tbl_Data_Centres_Multi[[#This Row],[Target Energy]]-Data_Centre_C_Reverse_Star_Band_Residual_Adjustment-Data_Centre_C_Median_Performance)/-(tbl_Data_Centres_Multi[[#This Row],[Rating Band Coefficient]])</calculatedColumnFormula>
    </tableColumn>
    <tableColumn id="238" xr3:uid="{615B2A2D-CEC5-4B4E-981E-0FB3A40A5F61}" name="Target Max CO2" dataDxfId="1666">
      <calculatedColumnFormula>tbl_Data_Centres_Multi[[#This Row],[er]]*(tbl_Data_Centres_Multi[[#This Row],[Target Residual (p)]]+1)</calculatedColumnFormula>
    </tableColumn>
    <tableColumn id="239" xr3:uid="{D61F5E78-DCB6-41C2-9C29-E5EBFF986234}" name="Target Max Energy (MJ)" dataDxfId="1665">
      <calculatedColumnFormula>tbl_Data_Centres_Multi[[#This Row],[Target Max CO2]]/tbl_Data_Centres_Multi[[#This Row],[EffGHG]]</calculatedColumnFormula>
    </tableColumn>
    <tableColumn id="240" xr3:uid="{84CD9030-D1C0-4D79-9C28-68E2653CC012}" name="Target Max Elec (kWh)" dataDxfId="1664">
      <calculatedColumnFormula>ROUNDDOWN(tbl_Data_Centres_Multi[[#This Row],[Target Max Energy (MJ)]]*IF(tbl_Data_Centres_Multi[[#This Row],[Rating Type]]="IT Equipment",100%,tbl_Data_Centres_Multi[[#This Row],[Electricity (%)]])/tbl_Data_Centres_Multi[[#This Row],[CFelec]],0)</calculatedColumnFormula>
    </tableColumn>
    <tableColumn id="242" xr3:uid="{44616E95-E1FA-421C-8414-50CF19958413}" name="Target Max Diesel (L)" dataDxfId="1663">
      <calculatedColumnFormula>ROUNDDOWN(tbl_Data_Centres_Multi[[#This Row],[Target Max Energy (MJ)]]*IF(tbl_Data_Centres_Multi[[#This Row],[Rating Type]]="IT Equipment",0%,tbl_Data_Centres_Multi[Diesel (%)])/tbl_Data_Centres_Multi[[#This Row],[CFdiesel]],0)</calculatedColumnFormula>
    </tableColumn>
    <tableColumn id="252" xr3:uid="{42B9020B-8FFD-46AF-9B42-368CEE0047C2}" name="Target Scopes 1,2&amp;3" dataDxfId="1662">
      <calculatedColumnFormula>IF(tbl_Data_Centres_Multi[[#This Row],[Rating Type]]="IT Equipment",tbl_Data_Centres_Multi[[#This Row],[Target Rating Period Max IT Elec (kWh)]]*tbl_Data_Centres_Multi[[#This Row],[SGEe Scopes 1,2&amp;3]],
SUM(tbl_Data_Centres_Multi[[#This Row],[Target Max Elec (kWh)]]*tbl_Data_Centres_Multi[[#This Row],[SGEe Scopes 1,2&amp;3]],
tbl_Data_Centres_Multi[[#This Row],[Target Max Diesel (L)]]*tbl_Data_Centres_Multi[[#This Row],[SGEd Scopes 1,2&amp;3]]))</calculatedColumnFormula>
    </tableColumn>
    <tableColumn id="253" xr3:uid="{DCC763C9-7629-421C-9BC4-86C9CA6391AE}" name="Target Scopes 1&amp;2" dataDxfId="1661">
      <calculatedColumnFormula>IF(tbl_Data_Centres_Multi[[#This Row],[Rating Type]]="IT Equipment",tbl_Data_Centres_Multi[[#This Row],[Target Rating Period Max IT Elec (kWh)]]*tbl_Data_Centres_Multi[[#This Row],[SGEe Scopes 1&amp;2]],
SUM(tbl_Data_Centres_Multi[[#This Row],[Target Max Elec (kWh)]]*tbl_Data_Centres_Multi[[#This Row],[SGEe Scopes 1&amp;2]],
tbl_Data_Centres_Multi[[#This Row],[Target Max Diesel (L)]]*tbl_Data_Centres_Multi[[#This Row],[SGEd Scopes 1&amp;2]]))</calculatedColumnFormula>
    </tableColumn>
    <tableColumn id="18" xr3:uid="{0A01F2EC-B92F-42CB-B525-C151245BA7B4}" name="Target PUE" dataDxfId="1660">
      <calculatedColumnFormula>IF(tbl_Data_Centres_Multi[[#This Row],[Rating Type]]="Infrastructure",1+tbl_Data_Centres_Multi[[#This Row],[Target Max Elec (kWh)]]/tbl_Data_Centres_Multi[[#This Row],[Assessable IT Energy]],
IF(tbl_Data_Centres_Multi[[#This Row],[Rating Type]]="Whole Facility",tbl_Data_Centres_Multi[[#This Row],[Target Max Elec (kWh)]]/tbl_Data_Centres_Multi[[#This Row],[EITkWhBenchmark]],
0))</calculatedColumnFormula>
    </tableColumn>
    <tableColumn id="237" xr3:uid="{40B1A28C-963C-4170-ADC2-CEF73B0DA028}" name="Max Daily IT Emissions at Target" dataDxfId="1659">
      <calculatedColumnFormula>tbl_Data_Centres_Multi[[#This Row],[Target Max CO2]]/365</calculatedColumnFormula>
    </tableColumn>
    <tableColumn id="134" xr3:uid="{7AFC4975-E122-4040-99C1-EAAFC08489F7}" name="Target Rating Period Max IT CO2 " dataDxfId="1658">
      <calculatedColumnFormula>tbl_Data_Centres_Multi[[#This Row],[Max Daily IT Emissions at Target]]*tbl_Data_Centres_Multi[[#This Row],[Rating Period]]</calculatedColumnFormula>
    </tableColumn>
    <tableColumn id="135" xr3:uid="{52C7B652-1253-463E-8B34-89E0F5728961}" name="Target Rating Period Max IT Elec (kWh)" dataDxfId="1657">
      <calculatedColumnFormula>ROUNDDOWN(tbl_Data_Centres_Multi[[#This Row],[Target Rating Period Max IT CO2 ]]/tbl_Data_Centres_Multi[[#This Row],[SGEe]],0)</calculatedColumnFormula>
    </tableColumn>
    <tableColumn id="6" xr3:uid="{EF92C92E-048A-47BE-B0FC-65DA9C5418C8}" name="Target Rating Period Max Daily IT Elec (kWh)" dataDxfId="1656">
      <calculatedColumnFormula>tbl_Data_Centres_Multi[[#This Row],[Max Daily IT Emissions at Target]]/tbl_Data_Centres_Multi[[#This Row],[SGEe]]</calculatedColumnFormula>
    </tableColumn>
    <tableColumn id="64" xr3:uid="{367A7CB5-258A-42F7-907E-62BDF1231D29}" name="6.0* Max Residual" dataDxfId="1655">
      <calculatedColumnFormula>(LEFT(tbl_Data_Centres_Multi[[#Headers],[6.0* Max Residual]],3)-Data_Centre_C_Reverse_Star_Band_Residual_Adjustment-Data_Centre_C_Median_Performance)/-tbl_Data_Centres_Multi[[Rating Band Coefficient]:[Rating Band Coefficient]]</calculatedColumnFormula>
    </tableColumn>
    <tableColumn id="65" xr3:uid="{2377B7E3-37EC-4AB9-B071-7925B11FA2B8}" name="5.5* Max Residual" dataDxfId="1654">
      <calculatedColumnFormula>(LEFT(tbl_Data_Centres_Multi[[#Headers],[5.5* Max Residual]],3)-Data_Centre_C_Reverse_Star_Band_Residual_Adjustment-Data_Centre_C_Median_Performance)/-tbl_Data_Centres_Multi[[Rating Band Coefficient]:[Rating Band Coefficient]]</calculatedColumnFormula>
    </tableColumn>
    <tableColumn id="66" xr3:uid="{35206A54-C1B7-4EC3-8948-834B4400BA4E}" name="5.0* Max Residual" dataDxfId="1653">
      <calculatedColumnFormula>(LEFT(tbl_Data_Centres_Multi[[#Headers],[5.0* Max Residual]],3)-Data_Centre_C_Reverse_Star_Band_Residual_Adjustment-Data_Centre_C_Median_Performance)/-tbl_Data_Centres_Multi[[Rating Band Coefficient]:[Rating Band Coefficient]]</calculatedColumnFormula>
    </tableColumn>
    <tableColumn id="67" xr3:uid="{E66F9590-3037-45DC-80CD-892E77BDD7A9}" name="4.5* Max Residual" dataDxfId="1652">
      <calculatedColumnFormula>(LEFT(tbl_Data_Centres_Multi[[#Headers],[4.5* Max Residual]],3)-Data_Centre_C_Reverse_Star_Band_Residual_Adjustment-Data_Centre_C_Median_Performance)/-tbl_Data_Centres_Multi[[Rating Band Coefficient]:[Rating Band Coefficient]]</calculatedColumnFormula>
    </tableColumn>
    <tableColumn id="68" xr3:uid="{D38B31BE-49CC-43D4-A800-25E138812C65}" name="4.0* Max Residual" dataDxfId="1651">
      <calculatedColumnFormula>(LEFT(tbl_Data_Centres_Multi[[#Headers],[4.0* Max Residual]],3)-Data_Centre_C_Reverse_Star_Band_Residual_Adjustment-Data_Centre_C_Median_Performance)/-tbl_Data_Centres_Multi[[Rating Band Coefficient]:[Rating Band Coefficient]]</calculatedColumnFormula>
    </tableColumn>
    <tableColumn id="69" xr3:uid="{C15A7893-B230-4398-AC1E-DCAD4F6B3CF4}" name="3.5* Max Residual" dataDxfId="1650">
      <calculatedColumnFormula>(LEFT(tbl_Data_Centres_Multi[[#Headers],[3.5* Max Residual]],3)-Data_Centre_C_Reverse_Star_Band_Residual_Adjustment-Data_Centre_C_Median_Performance)/-tbl_Data_Centres_Multi[[Rating Band Coefficient]:[Rating Band Coefficient]]</calculatedColumnFormula>
    </tableColumn>
    <tableColumn id="70" xr3:uid="{0CC91D41-C939-499D-9BB3-B1F1A02F6DC3}" name="3.0* Max Residual" dataDxfId="1649">
      <calculatedColumnFormula>(LEFT(tbl_Data_Centres_Multi[[#Headers],[3.0* Max Residual]],3)-Data_Centre_C_Reverse_Star_Band_Residual_Adjustment-Data_Centre_C_Median_Performance)/-tbl_Data_Centres_Multi[[Rating Band Coefficient]:[Rating Band Coefficient]]</calculatedColumnFormula>
    </tableColumn>
    <tableColumn id="71" xr3:uid="{DEB4F051-A05B-4731-B3F6-22B2E91B373C}" name="2.5* Max Residual" dataDxfId="1648">
      <calculatedColumnFormula>(LEFT(tbl_Data_Centres_Multi[[#Headers],[2.5* Max Residual]],3)-Data_Centre_C_Reverse_Star_Band_Residual_Adjustment-Data_Centre_C_Median_Performance)/-tbl_Data_Centres_Multi[[Rating Band Coefficient]:[Rating Band Coefficient]]</calculatedColumnFormula>
    </tableColumn>
    <tableColumn id="72" xr3:uid="{7740950C-A3F7-4760-B14F-0F0C3B2A58A9}" name="2.0* Max Residual" dataDxfId="1647">
      <calculatedColumnFormula>(LEFT(tbl_Data_Centres_Multi[[#Headers],[2.0* Max Residual]],3)-Data_Centre_C_Reverse_Star_Band_Residual_Adjustment-Data_Centre_C_Median_Performance)/-tbl_Data_Centres_Multi[[Rating Band Coefficient]:[Rating Band Coefficient]]</calculatedColumnFormula>
    </tableColumn>
    <tableColumn id="73" xr3:uid="{0870BFC7-F11E-41C6-A166-E0D29DF485B7}" name="1.5* Max Residual" dataDxfId="1646">
      <calculatedColumnFormula>(LEFT(tbl_Data_Centres_Multi[[#Headers],[1.5* Max Residual]],3)-Data_Centre_C_Reverse_Star_Band_Residual_Adjustment-Data_Centre_C_Median_Performance)/-tbl_Data_Centres_Multi[[Rating Band Coefficient]:[Rating Band Coefficient]]</calculatedColumnFormula>
    </tableColumn>
    <tableColumn id="74" xr3:uid="{C63A4FA4-CD2E-4858-841D-55961B2F0FDF}" name="1.0* Max Residual" dataDxfId="1645">
      <calculatedColumnFormula>(LEFT(tbl_Data_Centres_Multi[[#Headers],[1.0* Max Residual]],3)-Data_Centre_C_Reverse_Star_Band_Residual_Adjustment-Data_Centre_C_Median_Performance)/-tbl_Data_Centres_Multi[[Rating Band Coefficient]:[Rating Band Coefficient]]</calculatedColumnFormula>
    </tableColumn>
    <tableColumn id="17" xr3:uid="{E295B9FD-8796-4B15-A898-7D03B3AA7190}" name="0.0* Max Residual" dataDxfId="1644">
      <calculatedColumnFormula>(LEFT(tbl_Data_Centres_Multi[[#Headers],[0.0* Max Residual]],3)-Data_Centre_C_Reverse_Star_Band_Residual_Adjustment-Data_Centre_C_Median_Performance)/-tbl_Data_Centres_Multi[[Rating Band Coefficient]:[Rating Band Coefficient]]</calculatedColumnFormula>
    </tableColumn>
    <tableColumn id="75" xr3:uid="{EF85E3CF-CCB4-4E3D-B8BF-7C2661855062}" name="6.0* Max e" dataDxfId="1643">
      <calculatedColumnFormula>tbl_Data_Centres_Multi[[er]:[er]]*(tbl_Data_Centres_Multi[[#This Row],[6.0* Max Residual]]+1)</calculatedColumnFormula>
    </tableColumn>
    <tableColumn id="76" xr3:uid="{057558C2-1E3A-450D-9F57-FEA6570AB58E}" name="5.5* Max e" dataDxfId="1642">
      <calculatedColumnFormula>tbl_Data_Centres_Multi[[er]:[er]]*(tbl_Data_Centres_Multi[[#This Row],[5.5* Max Residual]]+1)</calculatedColumnFormula>
    </tableColumn>
    <tableColumn id="77" xr3:uid="{1066044F-74EF-4D3D-AE2A-69774F4C7677}" name="5.0* Max e" dataDxfId="1641">
      <calculatedColumnFormula>tbl_Data_Centres_Multi[[er]:[er]]*(tbl_Data_Centres_Multi[[#This Row],[5.0* Max Residual]]+1)</calculatedColumnFormula>
    </tableColumn>
    <tableColumn id="78" xr3:uid="{F90355A1-4A80-4771-B5A5-CB57F6AF7264}" name="4.5* Max e" dataDxfId="1640">
      <calculatedColumnFormula>tbl_Data_Centres_Multi[[er]:[er]]*(tbl_Data_Centres_Multi[[#This Row],[4.5* Max Residual]]+1)</calculatedColumnFormula>
    </tableColumn>
    <tableColumn id="79" xr3:uid="{634A69F2-BB1D-448A-92D8-E146D56D6A36}" name="4.0* Max e" dataDxfId="1639">
      <calculatedColumnFormula>tbl_Data_Centres_Multi[[er]:[er]]*(tbl_Data_Centres_Multi[[#This Row],[4.0* Max Residual]]+1)</calculatedColumnFormula>
    </tableColumn>
    <tableColumn id="80" xr3:uid="{4C7E5530-7DF6-4F5D-B6C2-FB76F271DC1B}" name="3.5* Max e" dataDxfId="1638">
      <calculatedColumnFormula>tbl_Data_Centres_Multi[[er]:[er]]*(tbl_Data_Centres_Multi[[#This Row],[3.5* Max Residual]]+1)</calculatedColumnFormula>
    </tableColumn>
    <tableColumn id="81" xr3:uid="{1FEC2319-874F-41B6-A982-4F8C5E43717F}" name="3.0* Max e" dataDxfId="1637">
      <calculatedColumnFormula>tbl_Data_Centres_Multi[[er]:[er]]*(tbl_Data_Centres_Multi[[#This Row],[3.0* Max Residual]]+1)</calculatedColumnFormula>
    </tableColumn>
    <tableColumn id="82" xr3:uid="{C143BB44-94DA-4FFC-A57C-45FA7322C75D}" name="2.5* Max e" dataDxfId="1636">
      <calculatedColumnFormula>tbl_Data_Centres_Multi[[er]:[er]]*(tbl_Data_Centres_Multi[[#This Row],[2.5* Max Residual]]+1)</calculatedColumnFormula>
    </tableColumn>
    <tableColumn id="83" xr3:uid="{359D9E30-682D-403D-AE57-816346445082}" name="2.0* Max e" dataDxfId="1635">
      <calculatedColumnFormula>tbl_Data_Centres_Multi[[er]:[er]]*(tbl_Data_Centres_Multi[[#This Row],[2.0* Max Residual]]+1)</calculatedColumnFormula>
    </tableColumn>
    <tableColumn id="84" xr3:uid="{C63B9115-40A9-437C-8688-775EB3DD7892}" name="1.5* Max e" dataDxfId="1634">
      <calculatedColumnFormula>tbl_Data_Centres_Multi[[er]:[er]]*(tbl_Data_Centres_Multi[[#This Row],[1.5* Max Residual]]+1)</calculatedColumnFormula>
    </tableColumn>
    <tableColumn id="85" xr3:uid="{D6586EF6-7211-417A-B3E2-02A765EDBCD5}" name="1.0* Max e" dataDxfId="1633">
      <calculatedColumnFormula>tbl_Data_Centres_Multi[[er]:[er]]*(tbl_Data_Centres_Multi[[#This Row],[1.0* Max Residual]]+1)</calculatedColumnFormula>
    </tableColumn>
    <tableColumn id="16" xr3:uid="{30400E6B-4238-4FF0-849B-EFE3DE29DCF3}" name="0.0* Max e" dataDxfId="1632">
      <calculatedColumnFormula>tbl_Data_Centres_Multi[[er]:[er]]*(tbl_Data_Centres_Multi[[#This Row],[0.0* Max Residual]]+1)</calculatedColumnFormula>
    </tableColumn>
    <tableColumn id="86" xr3:uid="{187D50E3-EB3E-4E7F-BE59-2BE21C715F88}" name="6.0* Max CO2" dataDxfId="1631">
      <calculatedColumnFormula>tbl_Data_Centres_Multi[[er]:[er]]*(tbl_Data_Centres_Multi[[#This Row],[6.0* Max Residual]]+1)</calculatedColumnFormula>
    </tableColumn>
    <tableColumn id="87" xr3:uid="{B77FAFFB-0CF7-46CE-9E2F-27362DDBA0C3}" name="5.5* Max CO2" dataDxfId="1630">
      <calculatedColumnFormula>tbl_Data_Centres_Multi[[er]:[er]]*(tbl_Data_Centres_Multi[[#This Row],[5.5* Max Residual]]+1)</calculatedColumnFormula>
    </tableColumn>
    <tableColumn id="88" xr3:uid="{F414403F-4786-448D-9835-36945BEC301B}" name="5.0* Max CO2" dataDxfId="1629">
      <calculatedColumnFormula>tbl_Data_Centres_Multi[[er]:[er]]*(tbl_Data_Centres_Multi[[#This Row],[5.0* Max Residual]]+1)</calculatedColumnFormula>
    </tableColumn>
    <tableColumn id="89" xr3:uid="{33C35EE7-8302-4A5E-893D-67096B2EAE0E}" name="4.5* Max CO2" dataDxfId="1628">
      <calculatedColumnFormula>tbl_Data_Centres_Multi[[er]:[er]]*(tbl_Data_Centres_Multi[[#This Row],[4.5* Max Residual]]+1)</calculatedColumnFormula>
    </tableColumn>
    <tableColumn id="90" xr3:uid="{8D6BFB9F-B6E0-4E99-9074-D31D5D696472}" name="4.0* Max CO2" dataDxfId="1627">
      <calculatedColumnFormula>tbl_Data_Centres_Multi[[er]:[er]]*(tbl_Data_Centres_Multi[[#This Row],[4.0* Max Residual]]+1)</calculatedColumnFormula>
    </tableColumn>
    <tableColumn id="91" xr3:uid="{3F9C9D9F-0689-418D-B4D6-E0DD11D1C9BB}" name="3.5* Max CO2" dataDxfId="1626">
      <calculatedColumnFormula>tbl_Data_Centres_Multi[[er]:[er]]*(tbl_Data_Centres_Multi[[#This Row],[3.5* Max Residual]]+1)</calculatedColumnFormula>
    </tableColumn>
    <tableColumn id="92" xr3:uid="{5CA93586-3D9B-4058-868F-27CDC7B9D1AE}" name="3.0* Max CO2" dataDxfId="1625">
      <calculatedColumnFormula>tbl_Data_Centres_Multi[[er]:[er]]*(tbl_Data_Centres_Multi[[#This Row],[3.0* Max Residual]]+1)</calculatedColumnFormula>
    </tableColumn>
    <tableColumn id="93" xr3:uid="{EA1AB294-E058-4389-929B-C6A56F3C6A3F}" name="2.5* Max CO2" dataDxfId="1624">
      <calculatedColumnFormula>tbl_Data_Centres_Multi[[er]:[er]]*(tbl_Data_Centres_Multi[[#This Row],[2.5* Max Residual]]+1)</calculatedColumnFormula>
    </tableColumn>
    <tableColumn id="94" xr3:uid="{6A4162B2-69FC-46C2-9204-5100C4A803E6}" name="2.0* Max CO2" dataDxfId="1623">
      <calculatedColumnFormula>tbl_Data_Centres_Multi[[er]:[er]]*(tbl_Data_Centres_Multi[[#This Row],[2.0* Max Residual]]+1)</calculatedColumnFormula>
    </tableColumn>
    <tableColumn id="95" xr3:uid="{86D00FD8-C273-412B-87DC-5B80B35E19F2}" name="1.5* Max CO2" dataDxfId="1622">
      <calculatedColumnFormula>tbl_Data_Centres_Multi[[er]:[er]]*(tbl_Data_Centres_Multi[[#This Row],[1.5* Max Residual]]+1)</calculatedColumnFormula>
    </tableColumn>
    <tableColumn id="96" xr3:uid="{D2B1F62A-03FA-4DFC-B11C-C5E9D9133164}" name="1.0* Max CO2" dataDxfId="1621">
      <calculatedColumnFormula>tbl_Data_Centres_Multi[[er]:[er]]*(tbl_Data_Centres_Multi[[#This Row],[1.0* Max Residual]]+1)</calculatedColumnFormula>
    </tableColumn>
    <tableColumn id="11" xr3:uid="{9C65715D-819B-4751-8545-BC7D2553BBF0}" name="0.0* Max CO2" dataDxfId="1620">
      <calculatedColumnFormula>tbl_Data_Centres_Multi[[er]:[er]]*(tbl_Data_Centres_Multi[[#This Row],[0.0* Max Residual]]+1)</calculatedColumnFormula>
    </tableColumn>
    <tableColumn id="155" xr3:uid="{1114C0A3-21FC-42A1-9090-0B4224A55A92}" name="6.0* Max Energy (MJ)" dataDxfId="1619">
      <calculatedColumnFormula>tbl_Data_Centres_Multi[[#This Row],[6.0* Max CO2]]/IF(tbl_Data_Centres_Multi[[Rating Type]:[Rating Type]]="IT Equipment",tbl_Data_Centres_Multi[[SGEe]:[SGEe]],tbl_Data_Centres_Multi[[EffGHG]:[EffGHG]])</calculatedColumnFormula>
    </tableColumn>
    <tableColumn id="156" xr3:uid="{CCA970A3-7163-4205-98AF-98ABDFE3297D}" name="5.5* Max Energy (MJ)" dataDxfId="1618">
      <calculatedColumnFormula>tbl_Data_Centres_Multi[[#This Row],[5.5* Max CO2]]/IF(tbl_Data_Centres_Multi[[Rating Type]:[Rating Type]]="IT Equipment",tbl_Data_Centres_Multi[[SGEe]:[SGEe]],tbl_Data_Centres_Multi[[EffGHG]:[EffGHG]])</calculatedColumnFormula>
    </tableColumn>
    <tableColumn id="157" xr3:uid="{2A61404B-5CDC-43E0-ADE5-A729E37EC5E1}" name="5.0* Max Energy (MJ)" dataDxfId="1617">
      <calculatedColumnFormula>tbl_Data_Centres_Multi[[#This Row],[5.0* Max CO2]]/IF(tbl_Data_Centres_Multi[[Rating Type]:[Rating Type]]="IT Equipment",tbl_Data_Centres_Multi[[SGEe]:[SGEe]],tbl_Data_Centres_Multi[[EffGHG]:[EffGHG]])</calculatedColumnFormula>
    </tableColumn>
    <tableColumn id="158" xr3:uid="{209291C8-4F51-47B1-933D-268FDE726217}" name="4.5* Max Energy (MJ)" dataDxfId="1616">
      <calculatedColumnFormula>tbl_Data_Centres_Multi[[#This Row],[4.5* Max CO2]]/IF(tbl_Data_Centres_Multi[[Rating Type]:[Rating Type]]="IT Equipment",tbl_Data_Centres_Multi[[SGEe]:[SGEe]],tbl_Data_Centres_Multi[[EffGHG]:[EffGHG]])</calculatedColumnFormula>
    </tableColumn>
    <tableColumn id="159" xr3:uid="{33EA7D43-8876-4C06-9DE6-0DA47547DAAA}" name="4.0* Max Energy (MJ)" dataDxfId="1615">
      <calculatedColumnFormula>tbl_Data_Centres_Multi[[#This Row],[4.0* Max CO2]]/IF(tbl_Data_Centres_Multi[[Rating Type]:[Rating Type]]="IT Equipment",tbl_Data_Centres_Multi[[SGEe]:[SGEe]],tbl_Data_Centres_Multi[[EffGHG]:[EffGHG]])</calculatedColumnFormula>
    </tableColumn>
    <tableColumn id="160" xr3:uid="{723906D8-744F-4041-8327-AFF63F3A1CBC}" name="3.5* Max Energy (MJ)" dataDxfId="1614">
      <calculatedColumnFormula>tbl_Data_Centres_Multi[[#This Row],[3.5* Max CO2]]/IF(tbl_Data_Centres_Multi[[Rating Type]:[Rating Type]]="IT Equipment",tbl_Data_Centres_Multi[[SGEe]:[SGEe]],tbl_Data_Centres_Multi[[EffGHG]:[EffGHG]])</calculatedColumnFormula>
    </tableColumn>
    <tableColumn id="161" xr3:uid="{4FF0358F-3102-4AEA-B962-97509425958F}" name="3.0* Max Energy (MJ)" dataDxfId="1613">
      <calculatedColumnFormula>tbl_Data_Centres_Multi[[#This Row],[3.0* Max CO2]]/IF(tbl_Data_Centres_Multi[[Rating Type]:[Rating Type]]="IT Equipment",tbl_Data_Centres_Multi[[SGEe]:[SGEe]],tbl_Data_Centres_Multi[[EffGHG]:[EffGHG]])</calculatedColumnFormula>
    </tableColumn>
    <tableColumn id="162" xr3:uid="{869719DF-29A2-432D-A373-84850626BB6A}" name="2.5* Max Energy (MJ)" dataDxfId="1612">
      <calculatedColumnFormula>tbl_Data_Centres_Multi[[#This Row],[2.5* Max CO2]]/IF(tbl_Data_Centres_Multi[[Rating Type]:[Rating Type]]="IT Equipment",tbl_Data_Centres_Multi[[SGEe]:[SGEe]],tbl_Data_Centres_Multi[[EffGHG]:[EffGHG]])</calculatedColumnFormula>
    </tableColumn>
    <tableColumn id="163" xr3:uid="{3A292620-FBB8-4469-8EDB-008E1B6838FA}" name="2.0* Max Energy (MJ)" dataDxfId="1611">
      <calculatedColumnFormula>tbl_Data_Centres_Multi[[#This Row],[2.0* Max CO2]]/IF(tbl_Data_Centres_Multi[[Rating Type]:[Rating Type]]="IT Equipment",tbl_Data_Centres_Multi[[SGEe]:[SGEe]],tbl_Data_Centres_Multi[[EffGHG]:[EffGHG]])</calculatedColumnFormula>
    </tableColumn>
    <tableColumn id="164" xr3:uid="{959F1ACD-5D79-40D6-9738-0B18BB89DE37}" name="1.5* Max Energy (MJ)" dataDxfId="1610">
      <calculatedColumnFormula>tbl_Data_Centres_Multi[[#This Row],[1.5* Max CO2]]/IF(tbl_Data_Centres_Multi[[Rating Type]:[Rating Type]]="IT Equipment",tbl_Data_Centres_Multi[[SGEe]:[SGEe]],tbl_Data_Centres_Multi[[EffGHG]:[EffGHG]])</calculatedColumnFormula>
    </tableColumn>
    <tableColumn id="165" xr3:uid="{41D270F1-FD13-49CE-BB3F-913C92FF3918}" name="1.0* Max Energy (MJ)" dataDxfId="1609">
      <calculatedColumnFormula>tbl_Data_Centres_Multi[[#This Row],[1.0* Max CO2]]/IF(tbl_Data_Centres_Multi[[Rating Type]:[Rating Type]]="IT Equipment",tbl_Data_Centres_Multi[[SGEe]:[SGEe]],tbl_Data_Centres_Multi[[EffGHG]:[EffGHG]])</calculatedColumnFormula>
    </tableColumn>
    <tableColumn id="10" xr3:uid="{AA33BD73-E4CF-430A-B4B9-203103ACD981}" name="0.0* Max Energy (MJ)" dataDxfId="1608">
      <calculatedColumnFormula>tbl_Data_Centres_Multi[[#This Row],[0.0* Max CO2]]/IF(tbl_Data_Centres_Multi[[Rating Type]:[Rating Type]]="IT Equipment",tbl_Data_Centres_Multi[[SGEe]:[SGEe]],tbl_Data_Centres_Multi[[EffGHG]:[EffGHG]])</calculatedColumnFormula>
    </tableColumn>
    <tableColumn id="97" xr3:uid="{449CF022-EF66-4404-AF96-A51235E44636}" name="6.0* Max Elec (kWh)" dataDxfId="1607">
      <calculatedColumnFormula>ROUNDDOWN(tbl_Data_Centres_Multi[[#This Row],[6.0* Max Energy (MJ)]]*IF(tbl_Data_Centres_Multi[[Rating Type]:[Rating Type]]="IT Equipment",100%,tbl_Data_Centres_Multi[[Electricity (%)]:[Electricity (%)]])/tbl_Data_Centres_Multi[[CFelec]:[CFelec]],0)</calculatedColumnFormula>
    </tableColumn>
    <tableColumn id="98" xr3:uid="{0D4264B4-1617-4945-B849-985F065EA980}" name="5.5* Max Elec (kWh)" dataDxfId="1606">
      <calculatedColumnFormula>ROUNDDOWN(tbl_Data_Centres_Multi[[#This Row],[5.5* Max Energy (MJ)]]*IF(tbl_Data_Centres_Multi[[Rating Type]:[Rating Type]]="IT Equipment",100%,tbl_Data_Centres_Multi[[Electricity (%)]:[Electricity (%)]])/tbl_Data_Centres_Multi[[CFelec]:[CFelec]],0)</calculatedColumnFormula>
    </tableColumn>
    <tableColumn id="99" xr3:uid="{5E79BBF6-2DF2-4062-A698-CC5683E4EA31}" name="5.0* Max Elec (kWh)" dataDxfId="1605">
      <calculatedColumnFormula>ROUNDDOWN(tbl_Data_Centres_Multi[[#This Row],[5.0* Max Energy (MJ)]]*IF(tbl_Data_Centres_Multi[[Rating Type]:[Rating Type]]="IT Equipment",100%,tbl_Data_Centres_Multi[[Electricity (%)]:[Electricity (%)]])/tbl_Data_Centres_Multi[[CFelec]:[CFelec]],0)</calculatedColumnFormula>
    </tableColumn>
    <tableColumn id="100" xr3:uid="{B8AEA752-5645-4DDB-92E8-4158AE1301E6}" name="4.5* Max Elec (kWh)" dataDxfId="1604">
      <calculatedColumnFormula>ROUNDDOWN(tbl_Data_Centres_Multi[[#This Row],[4.5* Max Energy (MJ)]]*IF(tbl_Data_Centres_Multi[[Rating Type]:[Rating Type]]="IT Equipment",100%,tbl_Data_Centres_Multi[[Electricity (%)]:[Electricity (%)]])/tbl_Data_Centres_Multi[[CFelec]:[CFelec]],0)</calculatedColumnFormula>
    </tableColumn>
    <tableColumn id="101" xr3:uid="{45C4233C-2DC3-4F26-89A0-05615CE35D53}" name="4.0* Max Elec (kWh)" dataDxfId="1603">
      <calculatedColumnFormula>ROUNDDOWN(tbl_Data_Centres_Multi[[#This Row],[4.0* Max Energy (MJ)]]*IF(tbl_Data_Centres_Multi[[Rating Type]:[Rating Type]]="IT Equipment",100%,tbl_Data_Centres_Multi[[Electricity (%)]:[Electricity (%)]])/tbl_Data_Centres_Multi[[CFelec]:[CFelec]],0)</calculatedColumnFormula>
    </tableColumn>
    <tableColumn id="102" xr3:uid="{A15B1647-1DAD-4B6F-B1BF-BC5B2C424BF2}" name="3.5* Max Elec (kWh)" dataDxfId="1602">
      <calculatedColumnFormula>ROUNDDOWN(tbl_Data_Centres_Multi[[#This Row],[3.5* Max Energy (MJ)]]*IF(tbl_Data_Centres_Multi[[Rating Type]:[Rating Type]]="IT Equipment",100%,tbl_Data_Centres_Multi[[Electricity (%)]:[Electricity (%)]])/tbl_Data_Centres_Multi[[CFelec]:[CFelec]],0)</calculatedColumnFormula>
    </tableColumn>
    <tableColumn id="103" xr3:uid="{0F53F45D-B12C-4858-94A0-18F696105C40}" name="3.0* Max Elec (kWh)" dataDxfId="1601">
      <calculatedColumnFormula>ROUNDDOWN(tbl_Data_Centres_Multi[[#This Row],[3.0* Max Energy (MJ)]]*IF(tbl_Data_Centres_Multi[[Rating Type]:[Rating Type]]="IT Equipment",100%,tbl_Data_Centres_Multi[[Electricity (%)]:[Electricity (%)]])/tbl_Data_Centres_Multi[[CFelec]:[CFelec]],0)</calculatedColumnFormula>
    </tableColumn>
    <tableColumn id="104" xr3:uid="{D1F220C6-73DC-4C12-8E66-03286BB163CF}" name="2.5* Max Elec (kWh)" dataDxfId="1600">
      <calculatedColumnFormula>ROUNDDOWN(tbl_Data_Centres_Multi[[#This Row],[2.5* Max Energy (MJ)]]*IF(tbl_Data_Centres_Multi[[Rating Type]:[Rating Type]]="IT Equipment",100%,tbl_Data_Centres_Multi[[Electricity (%)]:[Electricity (%)]])/tbl_Data_Centres_Multi[[CFelec]:[CFelec]],0)</calculatedColumnFormula>
    </tableColumn>
    <tableColumn id="105" xr3:uid="{A2FD1097-71B3-4DC8-8FFC-793399462604}" name="2.0* Max Elec (kWh)" dataDxfId="1599">
      <calculatedColumnFormula>ROUNDDOWN(tbl_Data_Centres_Multi[[#This Row],[2.0* Max Energy (MJ)]]*IF(tbl_Data_Centres_Multi[[Rating Type]:[Rating Type]]="IT Equipment",100%,tbl_Data_Centres_Multi[[Electricity (%)]:[Electricity (%)]])/tbl_Data_Centres_Multi[[CFelec]:[CFelec]],0)</calculatedColumnFormula>
    </tableColumn>
    <tableColumn id="106" xr3:uid="{742A9B09-2E69-40A3-B1E3-582D930703AD}" name="1.5* Max Elec (kWh)" dataDxfId="1598">
      <calculatedColumnFormula>ROUNDDOWN(tbl_Data_Centres_Multi[[#This Row],[1.5* Max Energy (MJ)]]*IF(tbl_Data_Centres_Multi[[Rating Type]:[Rating Type]]="IT Equipment",100%,tbl_Data_Centres_Multi[[Electricity (%)]:[Electricity (%)]])/tbl_Data_Centres_Multi[[CFelec]:[CFelec]],0)</calculatedColumnFormula>
    </tableColumn>
    <tableColumn id="107" xr3:uid="{263A615D-A4A7-4053-B7EB-2D9B3A025399}" name="1.0* Max Elec (kWh)" dataDxfId="1597">
      <calculatedColumnFormula>ROUNDDOWN(tbl_Data_Centres_Multi[[#This Row],[1.0* Max Energy (MJ)]]*IF(tbl_Data_Centres_Multi[[Rating Type]:[Rating Type]]="IT Equipment",100%,tbl_Data_Centres_Multi[[Electricity (%)]:[Electricity (%)]])/tbl_Data_Centres_Multi[[CFelec]:[CFelec]],0)</calculatedColumnFormula>
    </tableColumn>
    <tableColumn id="9" xr3:uid="{43EFF227-E5DA-4CE6-8B84-AF4664AEE60A}" name="0.0* Max Elec (kWh)" dataDxfId="1596">
      <calculatedColumnFormula>ROUNDDOWN(tbl_Data_Centres_Multi[[#This Row],[0.0* Max Energy (MJ)]]*IF(tbl_Data_Centres_Multi[[Rating Type]:[Rating Type]]="IT Equipment",100%,tbl_Data_Centres_Multi[[Electricity (%)]:[Electricity (%)]])/tbl_Data_Centres_Multi[[CFelec]:[CFelec]],0)</calculatedColumnFormula>
    </tableColumn>
    <tableColumn id="119" xr3:uid="{256500CE-9C3D-4153-AA77-334ADAFCE574}" name="6.0* Max Diesel (L)" dataDxfId="1595">
      <calculatedColumnFormula>ROUNDDOWN(tbl_Data_Centres_Multi[[#This Row],[6.0* Max Energy (MJ)]]*IF(tbl_Data_Centres_Multi[[Rating Type]:[Rating Type]]="IT Equipment",0%,tbl_Data_Centres_Multi[[Diesel (%)]:[Diesel (%)]])/tbl_Data_Centres_Multi[[CFdiesel]:[CFdiesel]],0)</calculatedColumnFormula>
    </tableColumn>
    <tableColumn id="120" xr3:uid="{DAE10811-5D6E-47AE-AA5F-6183AB3D95E0}" name="5.5* Max Diesel (L)" dataDxfId="1594">
      <calculatedColumnFormula>ROUNDDOWN(tbl_Data_Centres_Multi[[#This Row],[5.5* Max Energy (MJ)]]*IF(tbl_Data_Centres_Multi[[Rating Type]:[Rating Type]]="IT Equipment",0%,tbl_Data_Centres_Multi[[Diesel (%)]:[Diesel (%)]])/tbl_Data_Centres_Multi[[CFdiesel]:[CFdiesel]],0)</calculatedColumnFormula>
    </tableColumn>
    <tableColumn id="121" xr3:uid="{F7673B6A-99F5-49A2-A506-BE38F755AD42}" name="5.0* Max Diesel (L)" dataDxfId="1593">
      <calculatedColumnFormula>ROUNDDOWN(tbl_Data_Centres_Multi[[#This Row],[5.0* Max Energy (MJ)]]*IF(tbl_Data_Centres_Multi[[Rating Type]:[Rating Type]]="IT Equipment",0%,tbl_Data_Centres_Multi[[Diesel (%)]:[Diesel (%)]])/tbl_Data_Centres_Multi[[CFdiesel]:[CFdiesel]],0)</calculatedColumnFormula>
    </tableColumn>
    <tableColumn id="122" xr3:uid="{CB963002-AC46-4633-AF19-38009202A16B}" name="4.5* Max Diesel (L)" dataDxfId="1592">
      <calculatedColumnFormula>ROUNDDOWN(tbl_Data_Centres_Multi[[#This Row],[4.5* Max Energy (MJ)]]*IF(tbl_Data_Centres_Multi[[Rating Type]:[Rating Type]]="IT Equipment",0%,tbl_Data_Centres_Multi[[Diesel (%)]:[Diesel (%)]])/tbl_Data_Centres_Multi[[CFdiesel]:[CFdiesel]],0)</calculatedColumnFormula>
    </tableColumn>
    <tableColumn id="123" xr3:uid="{AEE2DB8B-2987-4D53-92CF-B03EE2D84F08}" name="4.0* Max Diesel (L)" dataDxfId="1591">
      <calculatedColumnFormula>ROUNDDOWN(tbl_Data_Centres_Multi[[#This Row],[4.0* Max Energy (MJ)]]*IF(tbl_Data_Centres_Multi[[Rating Type]:[Rating Type]]="IT Equipment",0%,tbl_Data_Centres_Multi[[Diesel (%)]:[Diesel (%)]])/tbl_Data_Centres_Multi[[CFdiesel]:[CFdiesel]],0)</calculatedColumnFormula>
    </tableColumn>
    <tableColumn id="124" xr3:uid="{2B2E90D3-5515-4289-B77B-AFD563E6D856}" name="3.5* Max Diesel (L)" dataDxfId="1590">
      <calculatedColumnFormula>ROUNDDOWN(tbl_Data_Centres_Multi[[#This Row],[3.5* Max Energy (MJ)]]*IF(tbl_Data_Centres_Multi[[Rating Type]:[Rating Type]]="IT Equipment",0%,tbl_Data_Centres_Multi[[Diesel (%)]:[Diesel (%)]])/tbl_Data_Centres_Multi[[CFdiesel]:[CFdiesel]],0)</calculatedColumnFormula>
    </tableColumn>
    <tableColumn id="125" xr3:uid="{B7537A3B-8109-49A7-8F70-756CFD5B952A}" name="3.0* Max Diesel (L)" dataDxfId="1589">
      <calculatedColumnFormula>ROUNDDOWN(tbl_Data_Centres_Multi[[#This Row],[3.0* Max Energy (MJ)]]*IF(tbl_Data_Centres_Multi[[Rating Type]:[Rating Type]]="IT Equipment",0%,tbl_Data_Centres_Multi[[Diesel (%)]:[Diesel (%)]])/tbl_Data_Centres_Multi[[CFdiesel]:[CFdiesel]],0)</calculatedColumnFormula>
    </tableColumn>
    <tableColumn id="126" xr3:uid="{5A821EE6-BA9B-4E8C-8B90-0056AFF9597A}" name="2.5* Max Diesel (L)" dataDxfId="1588">
      <calculatedColumnFormula>ROUNDDOWN(tbl_Data_Centres_Multi[[#This Row],[2.5* Max Energy (MJ)]]*IF(tbl_Data_Centres_Multi[[Rating Type]:[Rating Type]]="IT Equipment",0%,tbl_Data_Centres_Multi[[Diesel (%)]:[Diesel (%)]])/tbl_Data_Centres_Multi[[CFdiesel]:[CFdiesel]],0)</calculatedColumnFormula>
    </tableColumn>
    <tableColumn id="127" xr3:uid="{0AFDAF11-7443-4914-9350-F8DAD3F9593F}" name="2.0* Max Diesel (L)" dataDxfId="1587">
      <calculatedColumnFormula>ROUNDDOWN(tbl_Data_Centres_Multi[[#This Row],[2.0* Max Energy (MJ)]]*IF(tbl_Data_Centres_Multi[[Rating Type]:[Rating Type]]="IT Equipment",0%,tbl_Data_Centres_Multi[[Diesel (%)]:[Diesel (%)]])/tbl_Data_Centres_Multi[[CFdiesel]:[CFdiesel]],0)</calculatedColumnFormula>
    </tableColumn>
    <tableColumn id="128" xr3:uid="{0B355814-2B31-48BC-AEC1-85E2A42EC673}" name="1.5* Max Diesel (L)" dataDxfId="1586">
      <calculatedColumnFormula>ROUNDDOWN(tbl_Data_Centres_Multi[[#This Row],[1.5* Max Energy (MJ)]]*IF(tbl_Data_Centres_Multi[[Rating Type]:[Rating Type]]="IT Equipment",0%,tbl_Data_Centres_Multi[[Diesel (%)]:[Diesel (%)]])/tbl_Data_Centres_Multi[[CFdiesel]:[CFdiesel]],0)</calculatedColumnFormula>
    </tableColumn>
    <tableColumn id="129" xr3:uid="{FE5065B8-AD3F-48D0-A15E-816E7D3BCDEE}" name="1.0* Max Diesel (L)" dataDxfId="1585">
      <calculatedColumnFormula>ROUNDDOWN(tbl_Data_Centres_Multi[[#This Row],[1.0* Max Energy (MJ)]]*IF(tbl_Data_Centres_Multi[[Rating Type]:[Rating Type]]="IT Equipment",0%,tbl_Data_Centres_Multi[[Diesel (%)]:[Diesel (%)]])/tbl_Data_Centres_Multi[[CFdiesel]:[CFdiesel]],0)</calculatedColumnFormula>
    </tableColumn>
    <tableColumn id="7" xr3:uid="{9914E7A4-9E47-4159-A728-A03802FF116D}" name="0.0* Max Diesel (L)" dataDxfId="1584">
      <calculatedColumnFormula>ROUNDDOWN(tbl_Data_Centres_Multi[[#This Row],[0.0* Max Energy (MJ)]]*IF(tbl_Data_Centres_Multi[[Rating Type]:[Rating Type]]="IT Equipment",0%,tbl_Data_Centres_Multi[[Diesel (%)]:[Diesel (%)]])/tbl_Data_Centres_Multi[[CFdiesel]:[CFdiesel]],0)</calculatedColumnFormula>
    </tableColumn>
    <tableColumn id="171" xr3:uid="{BD429652-F508-43AE-A7BB-787BDAF0AEF3}" name="FWD Scope 1,2&amp;3" dataDxfId="1583">
      <calculatedColumnFormula>SUM(tbl_Data_Centres_Multi[[#This Row],[Electricity]]*(1-tbl_Data_Centres_Multi[[#This Row],[GP]])*tbl_Data_Centres_Multi[[#This Row],[SGEe Scopes 1,2&amp;3]],
tbl_Data_Centres_Multi[[#This Row],[Diesel]]*tbl_Data_Centres_Multi[[#This Row],[SGEd Scopes 1,2&amp;3]])</calculatedColumnFormula>
    </tableColumn>
    <tableColumn id="173" xr3:uid="{25E8E3BA-6F08-4007-9D00-366DF4F71EF0}" name="FWD Scope 1&amp;2" dataDxfId="1582">
      <calculatedColumnFormula>SUM(tbl_Data_Centres_Multi[[#This Row],[Electricity]]*(1-tbl_Data_Centres_Multi[[#This Row],[GP]])*tbl_Data_Centres_Multi[[#This Row],[SGEe Scopes 1&amp;2]],
tbl_Data_Centres_Multi[[#This Row],[Diesel]]*tbl_Data_Centres_Multi[[#This Row],[SGEd Scopes 1&amp;2]])</calculatedColumnFormula>
    </tableColumn>
    <tableColumn id="220" xr3:uid="{B8926E59-483D-4863-9FDA-15B08BA539DC}" name="Energy Star (with GP)" dataDxfId="1581">
      <calculatedColumnFormula>IF(tbl_Data_Centres_Multi[[#This Row],[Energy Star Decimal (with GP)]]&lt;1,0,MIN(ROUNDDOWN(tbl_Data_Centres_Multi[[#This Row],[Energy Star Decimal (with GP)]]*2,0)/2,6))</calculatedColumnFormula>
    </tableColumn>
    <tableColumn id="50" xr3:uid="{EDC396B8-C91D-47DD-A6D0-4AE9DA90E3AF}" name="Energy Star Decimal (with GP)" dataDxfId="1580">
      <calculatedColumnFormula>tbl_Data_Centres_Multi[[#This Row],[R (with GP)]]+Data_Centre_C_FWD_Star_Band_Residual_Adjustment</calculatedColumnFormula>
    </tableColumn>
    <tableColumn id="48" xr3:uid="{E63A06C8-C0B5-4E46-A473-B25732653C15}" name="Energy Star (no GP)" dataDxfId="1579">
      <calculatedColumnFormula>IF(tbl_Data_Centres_Multi[[#This Row],[Energy Star Decimal (no GP)]]&lt;1,0,MIN(ROUNDDOWN(tbl_Data_Centres_Multi[[#This Row],[Energy Star Decimal (no GP)]]*2,0)/2,6))</calculatedColumnFormula>
    </tableColumn>
    <tableColumn id="24" xr3:uid="{4ABD9FC6-49C3-440B-B817-1CD56E11149B}" name="Energy Star Decimal (no GP)" dataDxfId="1578">
      <calculatedColumnFormula>tbl_Data_Centres_Multi[[#This Row],[R (no GP)]]+Data_Centre_C_FWD_Star_Band_Residual_Adjustment</calculatedColumnFormula>
    </tableColumn>
    <tableColumn id="221" xr3:uid="{5521FEAF-F440-43E7-B782-692F342893BC}" name="R (with GP)" dataDxfId="1577">
      <calculatedColumnFormula>Data_Centre_C_Median_Performance-tbl_Data_Centres_Multi[[#This Row],[Rating Band Coefficient]]*tbl_Data_Centres_Multi[[#This Row],[p (with GP)]]</calculatedColumnFormula>
    </tableColumn>
    <tableColumn id="49" xr3:uid="{DF7AE950-4AC7-4936-94EB-7C8037CE8A0B}" name="R (no GP)" dataDxfId="1576">
      <calculatedColumnFormula>Data_Centre_C_Median_Performance-tbl_Data_Centres_Multi[[#This Row],[Rating Band Coefficient]]*tbl_Data_Centres_Multi[[#This Row],[p (no GP)]]</calculatedColumnFormula>
    </tableColumn>
    <tableColumn id="45" xr3:uid="{6A8F4D4F-63EA-431A-A344-A2F165B09871}" name="e (with GP)" dataDxfId="1575">
      <calculatedColumnFormula>IF(tbl_Data_Centres_Multi[[#This Row],[Rating Type]]="IT Equipment",tbl_Data_Centres_Multi[[#This Row],[Electricity]]*(1-tbl_Data_Centres_Multi[[#This Row],[GP]])*tbl_Data_Centres_Multi[[#This Row],[SGEe]]*(365/tbl_Data_Centres_Multi[[#This Row],[Rating Period]]),
SUM(tbl_Data_Centres_Multi[[#This Row],[Electricity]]*(1-tbl_Data_Centres_Multi[[#This Row],[GP]])*tbl_Data_Centres_Multi[[#This Row],[SGEe]],
tbl_Data_Centres_Multi[[#This Row],[Diesel]]*tbl_Data_Centres_Multi[[#This Row],[SGEd]]))</calculatedColumnFormula>
    </tableColumn>
    <tableColumn id="175" xr3:uid="{EB91BB60-B894-47B4-A35F-DA3B1F96AEF5}" name="e (no GP)" dataDxfId="1574">
      <calculatedColumnFormula>IF(tbl_Data_Centres_Multi[[#This Row],[Rating Type]]="IT Equipment",tbl_Data_Centres_Multi[[#This Row],[Electricity]]*tbl_Data_Centres_Multi[[#This Row],[SGEe]]*(365/tbl_Data_Centres_Multi[[#This Row],[Rating Period]]),
SUM(tbl_Data_Centres_Multi[[#This Row],[Electricity]]*tbl_Data_Centres_Multi[[#This Row],[SGEe]],
tbl_Data_Centres_Multi[[#This Row],[Diesel]]*tbl_Data_Centres_Multi[[#This Row],[SGEd]]))</calculatedColumnFormula>
    </tableColumn>
    <tableColumn id="44" xr3:uid="{AA71FA3C-F2C0-4D7F-9896-895E04FF34DD}" name="p (with GP)" dataDxfId="1573">
      <calculatedColumnFormula>(tbl_Data_Centres_Multi[[#This Row],[e (with GP)]]-tbl_Data_Centres_Multi[[#This Row],[er]])/tbl_Data_Centres_Multi[[#This Row],[er]]</calculatedColumnFormula>
    </tableColumn>
    <tableColumn id="176" xr3:uid="{A3DF397C-3C1F-43A5-9E23-22772289F92B}" name="p (no GP)" dataDxfId="1572">
      <calculatedColumnFormula>(tbl_Data_Centres_Multi[[#This Row],[e (no GP)]]-tbl_Data_Centres_Multi[[#This Row],[er]])/tbl_Data_Centres_Multi[[#This Row],[er]]</calculatedColumnFormula>
    </tableColumn>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90483F-A84E-4C7B-A122-13161CC496D1}" name="tbl_Hospital_W_TL" displayName="tbl_Hospital_W_TL" ref="A147:C150" totalsRowShown="0" headerRowDxfId="57" dataDxfId="56">
  <autoFilter ref="A147:C150" xr:uid="{BB90483F-A84E-4C7B-A122-13161CC496D1}"/>
  <tableColumns count="3">
    <tableColumn id="1" xr3:uid="{94EA5A09-00FB-4AFB-9D75-74FE9F37417D}" name="Group" dataDxfId="55"/>
    <tableColumn id="2" xr3:uid="{2F5FF834-5E0F-467A-BD37-FFB82CB0A27C}" name="a" dataDxfId="54"/>
    <tableColumn id="3" xr3:uid="{E0D3FFE8-8BAA-4E47-BC1F-C27BB2F75771}" name="b (intercept)" dataDxfId="53"/>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30E1DA7-1FD6-4329-9156-01F41470EBD5}" name="tbl_Hospital_E_TL" displayName="tbl_Hospital_E_TL" ref="A115:C118" totalsRowShown="0" headerRowDxfId="52" dataDxfId="51">
  <autoFilter ref="A115:C118" xr:uid="{730E1DA7-1FD6-4329-9156-01F41470EBD5}"/>
  <tableColumns count="3">
    <tableColumn id="1" xr3:uid="{5F5B47AA-4EBB-4125-AD73-DBD7A373CCCB}" name="Group" dataDxfId="50"/>
    <tableColumn id="2" xr3:uid="{03BBAA0A-36AE-43BC-A3D7-D2B6B6265C76}" name="a" dataDxfId="49"/>
    <tableColumn id="3" xr3:uid="{9CFD93B2-3BAE-4829-9D1E-5D9803A40035}" name="b (intercept)" dataDxfId="48"/>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2DBFC1D-6147-45D4-B2D9-647BF048247A}" name="tbl_School_Coefficients" displayName="tbl_School_Coefficients" ref="A380:D388" totalsRowShown="0" headerRowBorderDxfId="46" tableBorderDxfId="47">
  <autoFilter ref="A380:D388" xr:uid="{E2DBFC1D-6147-45D4-B2D9-647BF048247A}"/>
  <tableColumns count="4">
    <tableColumn id="1" xr3:uid="{76840F66-3B80-4281-95F2-7855A25ABDA7}" name="State" dataDxfId="45"/>
    <tableColumn id="2" xr3:uid="{0D855398-77CA-4204-B5C1-2A0BDE993931}" name="all sectors" dataDxfId="44"/>
    <tableColumn id="3" xr3:uid="{5D31AA47-7FCD-48C2-BAEF-A556100DC08E}" name="Government Schools and Catholic Systemic Schools" dataDxfId="43"/>
    <tableColumn id="4" xr3:uid="{B24B8581-1304-4CF2-887E-DE7AAADB099E}" name="Independent Schools " dataDxfId="42"/>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422E5A-9610-4AA4-BC26-7279E45B50F5}" name="tbl_Benchmark_Factors" displayName="tbl_Benchmark_Factors" ref="A2:C14" totalsRowShown="0" headerRowDxfId="41" dataDxfId="40" headerRowBorderDxfId="38" tableBorderDxfId="39" totalsRowBorderDxfId="37" headerRowCellStyle="常规 2 2">
  <autoFilter ref="A2:C14" xr:uid="{78422E5A-9610-4AA4-BC26-7279E45B50F5}"/>
  <tableColumns count="3">
    <tableColumn id="1" xr3:uid="{1AAF0059-76B3-418E-B103-694806B86AD8}" name="Lower Limit" dataDxfId="36" dataCellStyle="常规 2 2"/>
    <tableColumn id="2" xr3:uid="{BF2820AB-265D-4EE3-B724-CFE483A33FC7}" name="Upper Limit" dataDxfId="35" dataCellStyle="常规 2 2"/>
    <tableColumn id="3" xr3:uid="{34651C57-2CD7-414A-981E-3577C51180F3}" name="Star Rating" dataDxfId="34" dataCellStyle="常规 2 2"/>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FE281AA-719F-4A8B-B527-06B59E1944D3}" name="tbl_Benchmark_Decimal_Parameters" displayName="tbl_Benchmark_Decimal_Parameters" ref="B16:C17" totalsRowShown="0" headerRowDxfId="33" dataDxfId="32" headerRowCellStyle="常规 2" dataCellStyle="常规 2">
  <autoFilter ref="B16:C17" xr:uid="{3FE281AA-719F-4A8B-B527-06B59E1944D3}"/>
  <tableColumns count="2">
    <tableColumn id="1" xr3:uid="{BE90D6E6-9BCA-4D91-8B19-9067B11AF12F}" name="Slope" dataDxfId="31" dataCellStyle="常规 2">
      <calculatedColumnFormula>SLOPE(tbl_Benchmark_Factors[Star Rating],tbl_Benchmark_Factors[Upper Limit])</calculatedColumnFormula>
    </tableColumn>
    <tableColumn id="2" xr3:uid="{ED995E5B-DD25-4ADA-8A25-A8FB21DF3530}" name="Intercept" dataDxfId="30" dataCellStyle="常规 2">
      <calculatedColumnFormula>INTERCEPT(tbl_Benchmark_Factors[Star Rating],tbl_Benchmark_Factors[Upper Limit])</calculatedColumnFormula>
    </tableColumn>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EE3FAB7-4A45-4196-9477-C14852B00C1F}" name="tbl_NGA_Factors_2021" displayName="tbl_NGA_Factors_2021" ref="B26:L34" totalsRowShown="0" headerRowDxfId="29" dataDxfId="28" headerRowBorderDxfId="26" tableBorderDxfId="27" headerRowCellStyle="常规 4" dataCellStyle="常规 4">
  <autoFilter ref="B26:L34" xr:uid="{0EE3FAB7-4A45-4196-9477-C14852B00C1F}"/>
  <tableColumns count="11">
    <tableColumn id="1" xr3:uid="{5EB51B7C-29ED-4780-B17D-962704D57AF9}" name="State" dataDxfId="25" dataCellStyle="常规 4"/>
    <tableColumn id="2" xr3:uid="{15889226-01A9-4648-8F08-ABEB6B2783B4}" name="SGEe Scopes 1,2&amp;3" dataDxfId="24" dataCellStyle="常规 4">
      <calculatedColumnFormula>K2</calculatedColumnFormula>
    </tableColumn>
    <tableColumn id="3" xr3:uid="{D9434A4F-7B68-42CF-B73E-D79A912D86BD}" name="SGEg Scopes 1,2&amp;3" dataDxfId="23" dataCellStyle="常规 4">
      <calculatedColumnFormula>K10</calculatedColumnFormula>
    </tableColumn>
    <tableColumn id="4" xr3:uid="{644F2E1D-8E74-4F74-AD5A-4E3EAE5EE350}" name="SGEd Scopes 1,2&amp;3" dataDxfId="22" dataCellStyle="常规 4">
      <calculatedColumnFormula>$K$19</calculatedColumnFormula>
    </tableColumn>
    <tableColumn id="5" xr3:uid="{D3715545-5F50-4F00-A960-ACB1CA0A3F37}" name="SGEc Scopes 1,2&amp;3" dataDxfId="21" dataCellStyle="常规 4">
      <calculatedColumnFormula>$K$18</calculatedColumnFormula>
    </tableColumn>
    <tableColumn id="10" xr3:uid="{108C174C-CE33-49FD-9FE3-00705E416A54}" name="SGEl Scopes 1,2&amp;3" dataDxfId="20" dataCellStyle="常规 4">
      <calculatedColumnFormula>$K$20</calculatedColumnFormula>
    </tableColumn>
    <tableColumn id="6" xr3:uid="{460AEF7C-6052-463B-87A1-37F0C5C3D398}" name="SGEe Scopes 1&amp;2" dataDxfId="19" dataCellStyle="常规 4">
      <calculatedColumnFormula>J2</calculatedColumnFormula>
    </tableColumn>
    <tableColumn id="7" xr3:uid="{2247597F-3EFC-4BB1-8368-E13707172D0A}" name="SGEg Scopes 1&amp;2" dataDxfId="18" dataCellStyle="常规 4">
      <calculatedColumnFormula>J10</calculatedColumnFormula>
    </tableColumn>
    <tableColumn id="8" xr3:uid="{27472071-FF3E-4B3A-B6E6-8178C6FA2A3C}" name="SGEd Scopes 1&amp;2" dataDxfId="17" dataCellStyle="常规 4">
      <calculatedColumnFormula>$J$19</calculatedColumnFormula>
    </tableColumn>
    <tableColumn id="9" xr3:uid="{22251119-8E31-40E7-A3B0-0DB092E2B781}" name="SGEc Scopes 1&amp;2" dataDxfId="16" dataCellStyle="常规 4">
      <calculatedColumnFormula>$J$18</calculatedColumnFormula>
    </tableColumn>
    <tableColumn id="11" xr3:uid="{63ABC129-3587-4828-801A-B78746430C6D}" name="SGEl Scopes 1&amp;2" dataDxfId="15" dataCellStyle="常规 4">
      <calculatedColumnFormula>$J$20</calculatedColumnFormula>
    </tableColumn>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2C7F011-6CC8-4A03-BC6E-5C0DD853238D}" name="tbl_NGA_Factors_2022" displayName="tbl_NGA_Factors_2022" ref="B26:L34" totalsRowShown="0" headerRowDxfId="14" dataDxfId="13" headerRowBorderDxfId="11" tableBorderDxfId="12" headerRowCellStyle="常规 4" dataCellStyle="常规 4">
  <autoFilter ref="B26:L34" xr:uid="{0EE3FAB7-4A45-4196-9477-C14852B00C1F}"/>
  <tableColumns count="11">
    <tableColumn id="1" xr3:uid="{58411AAA-8980-4874-89EF-25A5DE315660}" name="State" dataDxfId="10" dataCellStyle="常规 4"/>
    <tableColumn id="2" xr3:uid="{BBAF8CFB-3131-460A-A1F1-ECE3743CA322}" name="SGEe Scopes 1,2&amp;3" dataDxfId="9" dataCellStyle="常规 4">
      <calculatedColumnFormula>K2</calculatedColumnFormula>
    </tableColumn>
    <tableColumn id="3" xr3:uid="{2B8FA3AD-511B-4C55-9B19-5FB1D13AC3EE}" name="SGEg Scopes 1,2&amp;3" dataDxfId="8" dataCellStyle="常规 4">
      <calculatedColumnFormula>K10</calculatedColumnFormula>
    </tableColumn>
    <tableColumn id="4" xr3:uid="{4720ED8E-7C11-49FD-8DBE-D5843B98F3F8}" name="SGEd Scopes 1,2&amp;3" dataDxfId="7" dataCellStyle="常规 4">
      <calculatedColumnFormula>$K$19</calculatedColumnFormula>
    </tableColumn>
    <tableColumn id="5" xr3:uid="{C396A2C4-A8EB-45D0-97F7-2187C3F5C31B}" name="SGEc Scopes 1,2&amp;3" dataDxfId="6" dataCellStyle="常规 4">
      <calculatedColumnFormula>$K$18</calculatedColumnFormula>
    </tableColumn>
    <tableColumn id="10" xr3:uid="{0E8D9B3B-992C-4A09-BE84-549925E872D8}" name="SGEl Scopes 1,2&amp;3" dataDxfId="5" dataCellStyle="常规 4">
      <calculatedColumnFormula>$K$20</calculatedColumnFormula>
    </tableColumn>
    <tableColumn id="6" xr3:uid="{F8675C66-054F-4CA3-BD51-F7CC11F4EED3}" name="SGEe Scopes 1&amp;2" dataDxfId="4" dataCellStyle="常规 4">
      <calculatedColumnFormula>J2</calculatedColumnFormula>
    </tableColumn>
    <tableColumn id="7" xr3:uid="{DB64046E-1BA7-4803-8F14-40EE947AABB0}" name="SGEg Scopes 1&amp;2" dataDxfId="3" dataCellStyle="常规 4">
      <calculatedColumnFormula>J10</calculatedColumnFormula>
    </tableColumn>
    <tableColumn id="8" xr3:uid="{2931E792-6F6D-44A6-B894-84003F93771A}" name="SGEd Scopes 1&amp;2" dataDxfId="2" dataCellStyle="常规 4">
      <calculatedColumnFormula>$J$19</calculatedColumnFormula>
    </tableColumn>
    <tableColumn id="9" xr3:uid="{8D5B052F-A3E3-47C7-A1BD-EA58D6C70C31}" name="SGEc Scopes 1&amp;2" dataDxfId="1" dataCellStyle="常规 4">
      <calculatedColumnFormula>$J$18</calculatedColumnFormula>
    </tableColumn>
    <tableColumn id="11" xr3:uid="{012AFD48-2EC7-4FAC-933E-73C69773ECF4}" name="SGEl Scopes 1&amp;2" dataDxfId="0" dataCellStyle="常规 4">
      <calculatedColumnFormula>$J$20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FD93874-9C6B-4E77-8C84-F410FE4A8F14}" name="tbl_Hotel_Multi" displayName="tbl_Hotel_Multi" ref="A3:HJ6" totalsRowShown="0" headerRowDxfId="1561" dataDxfId="1560" headerRowBorderDxfId="1558" tableBorderDxfId="1559">
  <autoFilter ref="A3:HJ6" xr:uid="{912DCB91-0EE1-4B70-BDB9-4E27D3EB38A8}"/>
  <tableColumns count="218">
    <tableColumn id="222" xr3:uid="{3DB75227-B0C0-4D60-82C7-AA84AD160726}" name="Target Energy" dataDxfId="1557"/>
    <tableColumn id="223" xr3:uid="{42EAE8C6-5DDB-4E5F-90AC-216E273458A8}" name="Target Water" dataDxfId="1556"/>
    <tableColumn id="1" xr3:uid="{9083427C-0E47-40B9-8484-DCC7F722E139}" name="Postcode" dataDxfId="1555"/>
    <tableColumn id="2" xr3:uid="{2C383E5E-A02D-45D9-823C-F18EC07A37CA}" name="AAAStar" dataDxfId="1554">
      <calculatedColumnFormula>Hotel_AAA_Star_Rating</calculatedColumnFormula>
    </tableColumn>
    <tableColumn id="3" xr3:uid="{1E4CC8FD-69F9-4E2F-B360-E100935C26D9}" name="Rooms" dataDxfId="1553">
      <calculatedColumnFormula>Hotel_Guest_Rooms</calculatedColumnFormula>
    </tableColumn>
    <tableColumn id="4" xr3:uid="{DC30679C-6507-46F3-86CA-BFA0244D5F89}" name="nfsl" dataDxfId="1552">
      <calculatedColumnFormula>Hotel_Full_Laundry_Rooms</calculatedColumnFormula>
    </tableColumn>
    <tableColumn id="148" xr3:uid="{590A778E-0183-4D8F-A678-980B47B06517}" name="nfuncseats" dataDxfId="1551">
      <calculatedColumnFormula>Hotel_Function_Room_Seats</calculatedColumnFormula>
    </tableColumn>
    <tableColumn id="5" xr3:uid="{E3CF8DD1-140C-4C4B-A0BF-465C51E8F5EB}" name="Aheatedpool" dataDxfId="1550">
      <calculatedColumnFormula>Hotel_Heated_Pool_Area</calculatedColumnFormula>
    </tableColumn>
    <tableColumn id="141" xr3:uid="{27E69032-BC11-4725-A9AE-4CFEDB2D3202}" name="Electricity (%)" dataDxfId="1549"/>
    <tableColumn id="142" xr3:uid="{FB98E408-33AB-402F-A63E-92DB30C37F4D}" name="Gas (%)" dataDxfId="1548"/>
    <tableColumn id="143" xr3:uid="{614D2A6D-E0A6-4A9B-A951-77589D79C138}" name="Diesel (%)" dataDxfId="1547"/>
    <tableColumn id="147" xr3:uid="{810D0623-2555-48FA-BE29-F3EC1435B965}" name="Energy Benchmark Factor" dataDxfId="1546">
      <calculatedColumnFormula>tbl_Hotel_Multi[[#This Row],[Target Residual (p)]]</calculatedColumnFormula>
    </tableColumn>
    <tableColumn id="224" xr3:uid="{6B807131-9A35-4D87-B629-32F3381F77BA}" name="Predicted Ave Emissions" dataDxfId="1545">
      <calculatedColumnFormula>tbl_Hotel_Multi[[#This Row],[Total Predicted Emissions (from A unrounded)]]</calculatedColumnFormula>
    </tableColumn>
    <tableColumn id="225" xr3:uid="{A588E6C7-3371-44C5-8E5C-F5734736C70F}" name="Max Emissions at Target" dataDxfId="1544">
      <calculatedColumnFormula>tbl_Hotel_Multi[[#This Row],[Target Max CO2]]</calculatedColumnFormula>
    </tableColumn>
    <tableColumn id="139" xr3:uid="{A1DF7C8F-A505-4E54-9548-CB9D25A811A4}" name="Max Emissions Intensity at Target" dataDxfId="1543">
      <calculatedColumnFormula>tbl_Hotel_Multi[[#This Row],[Target Max e]]</calculatedColumnFormula>
    </tableColumn>
    <tableColumn id="149" xr3:uid="{65BCD75A-02FF-4461-8AC3-931FD4A36DB7}" name="Max Energy Intensity at Target" dataDxfId="1542">
      <calculatedColumnFormula>tbl_Hotel_Multi[[#This Row],[Target Max Energy Intensity]]</calculatedColumnFormula>
    </tableColumn>
    <tableColumn id="226" xr3:uid="{C267ADB6-979C-405F-B27D-8CC57C9F5509}" name="Actual Scope 1,2&amp;3 at Target" dataDxfId="1541">
      <calculatedColumnFormula>tbl_Hotel_Multi[[#This Row],[Target Scopes 1,2&amp;3]]</calculatedColumnFormula>
    </tableColumn>
    <tableColumn id="227" xr3:uid="{FB6F584F-DBF6-4827-A35D-CBB3C587FC12}" name="Actual Scope 1&amp;2 at Targe" dataDxfId="1540">
      <calculatedColumnFormula>tbl_Hotel_Multi[[#This Row],[Target Scopes 1&amp;2]]</calculatedColumnFormula>
    </tableColumn>
    <tableColumn id="228" xr3:uid="{E00C1252-260C-4AF7-9C06-1C0D1CCF3B07}" name="Max Elec (kWh) at Target" dataDxfId="1539">
      <calculatedColumnFormula>tbl_Hotel_Multi[[#This Row],[Target Max Elec (kWh)]]</calculatedColumnFormula>
    </tableColumn>
    <tableColumn id="229" xr3:uid="{DF2671AB-71C3-427C-9F51-565EE0CE83B7}" name="Max Gas (MJ) at Target" dataDxfId="1538">
      <calculatedColumnFormula>tbl_Hotel_Multi[[#This Row],[Target Max Gas (MJ)]]</calculatedColumnFormula>
    </tableColumn>
    <tableColumn id="230" xr3:uid="{D53FD17E-9B67-4BE5-85B9-8207081D46FB}" name="Max Diesel (L) at Target" dataDxfId="1537">
      <calculatedColumnFormula>tbl_Hotel_Multi[[#This Row],[Target Max Diesel (L)]]</calculatedColumnFormula>
    </tableColumn>
    <tableColumn id="232" xr3:uid="{4EBAD0DF-E60B-4138-94EE-3DF702689999}" name="Predicted Ave Water" dataDxfId="1536">
      <calculatedColumnFormula>tbl_Hotel_Multi[[#This Row],[Predicted Total Water Consumption]]</calculatedColumnFormula>
    </tableColumn>
    <tableColumn id="233" xr3:uid="{7749ED65-9FBF-4E22-A836-4130DB38FD6C}" name="Max Water (kL) at Target" dataDxfId="1535">
      <calculatedColumnFormula>tbl_Hotel_Multi[[#This Row],[Target Max Water (kL)]]</calculatedColumnFormula>
    </tableColumn>
    <tableColumn id="140" xr3:uid="{B8313828-5DA3-4FBA-9084-0A63AD300032}" name="Max Water Intensity at Target" dataDxfId="1534">
      <calculatedColumnFormula>tbl_Hotel_Multi[[#This Row],[Target max Water (kL/room)]]</calculatedColumnFormula>
    </tableColumn>
    <tableColumn id="12" xr3:uid="{EAA5BA14-ADAD-4B18-8C85-6D78825406FD}" name="Electricity" dataDxfId="1533"/>
    <tableColumn id="13" xr3:uid="{C28C4072-4AC8-44D7-AF97-A41CF4BB10D4}" name="Gas" dataDxfId="1532"/>
    <tableColumn id="14" xr3:uid="{8837F9A0-4A1E-44C4-8A00-447B5B461A72}" name="Diesel" dataDxfId="1531"/>
    <tableColumn id="15" xr3:uid="{5ADFDDF0-6D98-42C4-B306-7D50051D28C6}" name="GP" dataDxfId="1530"/>
    <tableColumn id="17" xr3:uid="{6443CF2F-90D8-4898-870F-D44C303E92AC}" name="water" dataDxfId="1529"/>
    <tableColumn id="18" xr3:uid="{7BEFE607-5061-401C-8606-F157C70FFCB5}" name="RW" dataDxfId="1528"/>
    <tableColumn id="19" xr3:uid="{4EB1CAF5-188F-4780-9002-45F3D088DD4B}" name="State" dataDxfId="1527">
      <calculatedColumnFormula>INDEX(tbl_Climate_Lookup[],MATCH(tbl_Hotel_Multi[[Postcode]:[Postcode]],tbl_Climate_Lookup[[Postcode]:[Postcode]],0),MATCH(tbl_Hotel_Multi[[#Headers],[State]],tbl_Climate_Lookup[#Headers],0))</calculatedColumnFormula>
    </tableColumn>
    <tableColumn id="20" xr3:uid="{327C1FF5-4807-4F06-A6D3-3002AC41F48E}" name="Climate zone" dataDxfId="1526">
      <calculatedColumnFormula>INDEX(tbl_Climate_Lookup[],MATCH(tbl_Hotel_Multi[[Postcode]:[Postcode]],tbl_Climate_Lookup[[Postcode]:[Postcode]],0),MATCH(tbl_Hotel_Multi[[#Headers],[Climate zone]],tbl_Climate_Lookup[#Headers],0))</calculatedColumnFormula>
    </tableColumn>
    <tableColumn id="21" xr3:uid="{2F76E2AA-773C-4584-86DB-358333A31EA2}" name="HDD" dataDxfId="1525">
      <calculatedColumnFormula>INDEX(tbl_Climate_Lookup[],MATCH(tbl_Hotel_Multi[[Postcode]:[Postcode]],tbl_Climate_Lookup[[Postcode]:[Postcode]],0),MATCH(tbl_Hotel_Multi[[#Headers],[HDD]],tbl_Climate_Lookup[#Headers],0))</calculatedColumnFormula>
    </tableColumn>
    <tableColumn id="22" xr3:uid="{B5E66115-4646-4938-99C6-24C613B7EF35}" name="CDD" dataDxfId="1524">
      <calculatedColumnFormula>INDEX(tbl_Climate_Lookup[],MATCH(tbl_Hotel_Multi[[Postcode]:[Postcode]],tbl_Climate_Lookup[[Postcode]:[Postcode]],0),MATCH(tbl_Hotel_Multi[[#Headers],[CDD]],tbl_Climate_Lookup[#Headers],0))</calculatedColumnFormula>
    </tableColumn>
    <tableColumn id="181" xr3:uid="{5E7BD08C-E4D0-4DA6-A966-26033AFABC27}" name="SGEe2008" dataDxfId="1523">
      <calculatedColumnFormula>INDEX(tbl_SGE_Hotel_2008[],MATCH(tbl_Hotel_Multi[[State]:[State]],tbl_SGE_Hotel_2008[[State]:[State]],0),MATCH(tbl_Hotel_Multi[[#Headers],[SGEe2008]],tbl_SGE_Hotel_2008[#Headers],0))</calculatedColumnFormula>
    </tableColumn>
    <tableColumn id="182" xr3:uid="{A7A510A8-17C5-424A-97B6-8C5A7E085F79}" name="SGEg2008" dataDxfId="1522">
      <calculatedColumnFormula>INDEX(tbl_SGE_Hotel_2008[],MATCH(tbl_Hotel_Multi[[State]:[State]],tbl_SGE_Hotel_2008[[State]:[State]],0),MATCH(tbl_Hotel_Multi[[#Headers],[SGEg2008]],tbl_SGE_Hotel_2008[#Headers],0))</calculatedColumnFormula>
    </tableColumn>
    <tableColumn id="183" xr3:uid="{ECFF45C3-E4F6-4A74-981D-59F106FFB2F6}" name="SGEd2008" dataDxfId="1521">
      <calculatedColumnFormula>INDEX(tbl_SGE_Hotel_2008[],MATCH(tbl_Hotel_Multi[[State]:[State]],tbl_SGE_Hotel_2008[[State]:[State]],0),MATCH(tbl_Hotel_Multi[[#Headers],[SGEd2008]],tbl_SGE_Hotel_2008[#Headers],0))</calculatedColumnFormula>
    </tableColumn>
    <tableColumn id="25" xr3:uid="{2C3FC44E-6E63-4D32-843B-E4F4F777F68C}" name="SGEe" dataDxfId="1520">
      <calculatedColumnFormula>INDEX(tbl_SGE_2020[],MATCH(tbl_Hotel_Multi[[State]:[State]],tbl_SGE_2020[[State]:[State]],0),MATCH(tbl_Hotel_Multi[[#Headers],[SGEe]],tbl_SGE_2020[#Headers],0))</calculatedColumnFormula>
    </tableColumn>
    <tableColumn id="26" xr3:uid="{C80039F0-CF1F-47AE-9B43-5DD968E6E20F}" name="SGEg" dataDxfId="1519">
      <calculatedColumnFormula>INDEX(tbl_SGE_2020[],MATCH(tbl_Hotel_Multi[[State]:[State]],tbl_SGE_2020[[State]:[State]],0),MATCH(tbl_Hotel_Multi[[#Headers],[SGEg]],tbl_SGE_2020[#Headers],0))</calculatedColumnFormula>
    </tableColumn>
    <tableColumn id="27" xr3:uid="{2CFD6938-A5B5-484E-837D-ECE50C8C0715}" name="SGEd" dataDxfId="1518">
      <calculatedColumnFormula>INDEX(tbl_SGE_2020[],MATCH(tbl_Hotel_Multi[[State]:[State]],tbl_SGE_2020[[State]:[State]],0),MATCH(tbl_Hotel_Multi[[#Headers],[SGEd]],tbl_SGE_2020[#Headers],0))</calculatedColumnFormula>
    </tableColumn>
    <tableColumn id="145" xr3:uid="{CC933298-AD73-4677-8AFA-D282FB369E9E}" name="CFelec" dataDxfId="1517">
      <calculatedColumnFormula>INDEX(tbl_Conversion_Factors[[Conversion Factors]:[Conversion Factors]],MATCH(tbl_Hotel_Multi[[#Headers],[CFelec]],tbl_Conversion_Factors[[Reference]:[Reference]],0))</calculatedColumnFormula>
    </tableColumn>
    <tableColumn id="146" xr3:uid="{4E873916-D123-45BA-B674-CEDA71B53784}" name="CFdiesel" dataDxfId="1516">
      <calculatedColumnFormula>INDEX(tbl_Conversion_Factors[[Conversion Factors]:[Conversion Factors]],MATCH(tbl_Hotel_Multi[[#Headers],[CFdiesel]],tbl_Conversion_Factors[[Reference]:[Reference]],0))</calculatedColumnFormula>
    </tableColumn>
    <tableColumn id="151" xr3:uid="{A8771858-B545-49C5-8791-483F5043C329}" name="SGEeMJ" dataDxfId="1515">
      <calculatedColumnFormula>tbl_Hotel_Multi[[#This Row],[SGEe]]/tbl_Hotel_Multi[[#This Row],[CFelec]]</calculatedColumnFormula>
    </tableColumn>
    <tableColumn id="152" xr3:uid="{F315FCE6-8E08-4CFC-9AAB-09F6152D6291}" name="SGEdMJ" dataDxfId="1514">
      <calculatedColumnFormula>tbl_Hotel_Multi[[#This Row],[SGEd]]/tbl_Hotel_Multi[[#This Row],[CFdiesel]]</calculatedColumnFormula>
    </tableColumn>
    <tableColumn id="154" xr3:uid="{C2C33DB2-624C-40CD-92B4-15B802DB3624}" name="EffGHG" dataDxfId="1513">
      <calculatedColumnFormula>IF(SUM(tbl_Hotel_Multi[[#This Row],[Electricity (%)]:[Diesel (%)]])=1,
SUM(tbl_Hotel_Multi[[#This Row],[Electricity (%)]]*tbl_Hotel_Multi[[#This Row],[SGEeMJ]],
tbl_Hotel_Multi[[#This Row],[Gas (%)]]*tbl_Hotel_Multi[[#This Row],[SGEg]],
tbl_Hotel_Multi[[#This Row],[Diesel (%)]]*tbl_Hotel_Multi[[#This Row],[SGEdMJ]]),
0)</calculatedColumnFormula>
    </tableColumn>
    <tableColumn id="244" xr3:uid="{D01840A1-B928-4AFE-9193-FB2A39905675}" name="SGEe Scopes 1,2&amp;3" dataDxfId="1512">
      <calculatedColumnFormula>INDEX(tbl_NGA_Factors_2021[],MATCH(tbl_Hotel_Multi[[State]:[State]],tbl_NGA_Factors_2021[[State]:[State]],0),MATCH(tbl_Hotel_Multi[[#Headers],[SGEe Scopes 1,2&amp;3]],tbl_NGA_Factors_2021[#Headers],0))</calculatedColumnFormula>
    </tableColumn>
    <tableColumn id="245" xr3:uid="{E92ACD80-C38E-47A2-9C12-EACA26058A5A}" name="SGEg Scopes 1,2&amp;3" dataDxfId="1511">
      <calculatedColumnFormula>INDEX(tbl_NGA_Factors_2021[],MATCH(tbl_Hotel_Multi[[State]:[State]],tbl_NGA_Factors_2021[[State]:[State]],0),MATCH(tbl_Hotel_Multi[[#Headers],[SGEg Scopes 1,2&amp;3]],tbl_NGA_Factors_2021[#Headers],0))</calculatedColumnFormula>
    </tableColumn>
    <tableColumn id="246" xr3:uid="{F5741BF0-A75B-4FF3-91FF-A1024F1634DF}" name="SGEd Scopes 1,2&amp;3" dataDxfId="1510">
      <calculatedColumnFormula>INDEX(tbl_NGA_Factors_2021[],MATCH(tbl_Hotel_Multi[[State]:[State]],tbl_NGA_Factors_2021[[State]:[State]],0),MATCH(tbl_Hotel_Multi[[#Headers],[SGEd Scopes 1,2&amp;3]],tbl_NGA_Factors_2021[#Headers],0))</calculatedColumnFormula>
    </tableColumn>
    <tableColumn id="248" xr3:uid="{A407DF64-195D-4E3E-9D45-06BCE1C69ABE}" name="SGEe Scopes 1&amp;2" dataDxfId="1509">
      <calculatedColumnFormula>INDEX(tbl_NGA_Factors_2021[],MATCH(tbl_Hotel_Multi[[State]:[State]],tbl_NGA_Factors_2021[[State]:[State]],0),MATCH(tbl_Hotel_Multi[[#Headers],[SGEe Scopes 1&amp;2]],tbl_NGA_Factors_2021[#Headers],0))</calculatedColumnFormula>
    </tableColumn>
    <tableColumn id="249" xr3:uid="{A093AB0D-4F1D-403E-92EF-9BAA8E58D35F}" name="SGEg Scopes 1&amp;2" dataDxfId="1508">
      <calculatedColumnFormula>INDEX(tbl_NGA_Factors_2021[],MATCH(tbl_Hotel_Multi[[State]:[State]],tbl_NGA_Factors_2021[[State]:[State]],0),MATCH(tbl_Hotel_Multi[[#Headers],[SGEg Scopes 1&amp;2]],tbl_NGA_Factors_2021[#Headers],0))</calculatedColumnFormula>
    </tableColumn>
    <tableColumn id="250" xr3:uid="{598A4F0D-78CE-4465-B9CE-A7F3FA79EEFF}" name="SGEd Scopes 1&amp;2" dataDxfId="1507">
      <calculatedColumnFormula>INDEX(tbl_NGA_Factors_2021[],MATCH(tbl_Hotel_Multi[[State]:[State]],tbl_NGA_Factors_2021[[State]:[State]],0),MATCH(tbl_Hotel_Multi[[#Headers],[SGEd Scopes 1&amp;2]],tbl_NGA_Factors_2021[#Headers],0))</calculatedColumnFormula>
    </tableColumn>
    <tableColumn id="132" xr3:uid="{EED325C6-8B55-417F-815E-5335CB14BAFF}" name="Total Predicted Emissions" dataDxfId="1506">
      <calculatedColumnFormula>tbl_Hotel_Multi[[#This Row],[er]]*tbl_Hotel_Multi[[#This Row],[Rooms]]</calculatedColumnFormula>
    </tableColumn>
    <tableColumn id="130" xr3:uid="{F3D7BA04-FA51-47B1-A1D2-6E99BD5CBD71}" name="A" dataDxfId="1505">
      <calculatedColumnFormula>ROUND(INDEX(tbl_GHG_State_Factor[Hotel],MATCH(tbl_Hotel_Multi[[#This Row],[State]],tbl_GHG_State_Factor[Premise state],0)),3)</calculatedColumnFormula>
    </tableColumn>
    <tableColumn id="28" xr3:uid="{D92C87ED-8025-4136-AC94-6A50242DA82C}" name="Ggas2008" dataDxfId="1504">
      <calculatedColumnFormula>SUM(tbl_Hotel_Multi[[#This Row],[9.8*HDD]],tbl_Hotel_Multi[[#This Row],[23087*nfsl/N]],tbl_Hotel_Multi[[#This Row],[10692*Aheatedpool/N]])*tbl_Hotel_Multi[[#This Row],[SGEg2008]]</calculatedColumnFormula>
    </tableColumn>
    <tableColumn id="34" xr3:uid="{7908328B-61DC-4481-94E9-F98432B7D9A4}" name="Ggeneral2008" dataDxfId="1503">
      <calculatedColumnFormula>SUM(tbl_Hotel_Multi[[#This Row],[2.551*CDD]],tbl_Hotel_Multi[[#This Row],[4723*(S-2)]],tbl_Hotel_Multi[[#This Row],[1212*nfuncseats/N]],1176)*tbl_Hotel_Multi[[#This Row],[SGEe2008]]/Hotel_C_E_GGeneral_elec</calculatedColumnFormula>
    </tableColumn>
    <tableColumn id="35" xr3:uid="{89748B47-2EA1-4F3E-8F87-D52AB4FB82F3}" name="er" dataDxfId="1502">
      <calculatedColumnFormula>SUM(tbl_Hotel_Multi[[#This Row],[Ggas2008]],tbl_Hotel_Multi[[#This Row],[Ggeneral2008]])*tbl_Hotel_Multi[[#This Row],[A]]</calculatedColumnFormula>
    </tableColumn>
    <tableColumn id="133" xr3:uid="{78395BC3-0DEF-478E-BD95-437BE271734C}" name="er (from A unrounded)" dataDxfId="1501">
      <calculatedColumnFormula>(tbl_Hotel_Multi[[#This Row],[Ggas2008]]+tbl_Hotel_Multi[[#This Row],[Ggeneral2008]])*tbl_Hotel_Multi[[#This Row],[A unrounded]]</calculatedColumnFormula>
    </tableColumn>
    <tableColumn id="205" xr3:uid="{DB4D15A4-B2ED-4807-BC9F-B63736ADC7BD}" name="er (from Zy)" dataDxfId="1500">
      <calculatedColumnFormula>tbl_Hotel_Multi[[#This Row],[er]]*tbl_Hotel_Multi[[#This Row],[Zy]]</calculatedColumnFormula>
    </tableColumn>
    <tableColumn id="29" xr3:uid="{340C2E2A-310E-4D25-B7CD-8659C2D6A869}" name="9.8*HDD" dataDxfId="1499">
      <calculatedColumnFormula>Hotel_C_E_HDD*tbl_Hotel_Multi[[#This Row],[HDD]]</calculatedColumnFormula>
    </tableColumn>
    <tableColumn id="30" xr3:uid="{989344E4-6BB0-404A-BA68-EC6E6A12B0E3}" name="23087*nfsl/N" dataDxfId="1498">
      <calculatedColumnFormula>Hotel_C_E_Nfsl*tbl_Hotel_Multi[[#This Row],[nfsl]]/tbl_Hotel_Multi[[#This Row],[Rooms]]</calculatedColumnFormula>
    </tableColumn>
    <tableColumn id="31" xr3:uid="{D058DB0F-0D83-423B-AC80-CF9144CE1DD6}" name="10692*Aheatedpool/N" dataDxfId="1497">
      <calculatedColumnFormula>Hotel_C_E_Pool*tbl_Hotel_Multi[[#This Row],[Aheatedpool]]/tbl_Hotel_Multi[[#This Row],[Rooms]]</calculatedColumnFormula>
    </tableColumn>
    <tableColumn id="32" xr3:uid="{021E1C72-FB61-435A-8DD0-A2EC99C7AC9A}" name="2.551*CDD" dataDxfId="1496">
      <calculatedColumnFormula>Hotel_C_E_Cooling*tbl_Hotel_Multi[[#This Row],[CDD]]</calculatedColumnFormula>
    </tableColumn>
    <tableColumn id="33" xr3:uid="{63332931-9DB8-44E0-98E1-9352467E2452}" name="4723*(S-2)" dataDxfId="1495">
      <calculatedColumnFormula>Hotel_C_E_AAA_Rating*(tbl_Hotel_Multi[[#This Row],[AAAStar]]-2)</calculatedColumnFormula>
    </tableColumn>
    <tableColumn id="36" xr3:uid="{01C20743-3486-4F6D-8200-9E61FBADA9EE}" name="1212*nfuncseats/N" dataDxfId="1494">
      <calculatedColumnFormula>Hotel_C_E_Function_Seats*tbl_Hotel_Multi[[#This Row],[nfuncseats]]/tbl_Hotel_Multi[[#This Row],[Rooms]]</calculatedColumnFormula>
    </tableColumn>
    <tableColumn id="177" xr3:uid="{2C4F2C75-397D-4344-AE08-BFB2B0D025DC}" name="Total Predicted Emissions (from A unrounded)" dataDxfId="1493">
      <calculatedColumnFormula>tbl_Hotel_Multi[[#This Row],[er (from A unrounded)]]*tbl_Hotel_Multi[[#This Row],[Rooms]]</calculatedColumnFormula>
    </tableColumn>
    <tableColumn id="178" xr3:uid="{B04F848F-5733-475B-B77E-15025D2EF627}" name="Total Predicted Emissions (from Zy)" dataDxfId="1492">
      <calculatedColumnFormula>tbl_Hotel_Multi[[#This Row],[er (from Zy)]]*tbl_Hotel_Multi[[#This Row],[Rooms]]</calculatedColumnFormula>
    </tableColumn>
    <tableColumn id="174" xr3:uid="{B1F1FDC8-9DD4-4561-B18F-BD0CBF2F5AF5}" name="A unrounded" dataDxfId="1491">
      <calculatedColumnFormula>INDEX(tbl_GHG_State_Factor[Hotel],MATCH(tbl_Hotel_Multi[[#This Row],[State]],tbl_GHG_State_Factor[Premise state],0))</calculatedColumnFormula>
    </tableColumn>
    <tableColumn id="204" xr3:uid="{C6627AD4-FF9F-4E4A-AE0C-253ADD2AFB65}" name="Zy" dataDxfId="1490">
      <calculatedColumnFormula>(tbl_Hotel_Multi[[#This Row],[SGEg]]*tbl_Hotel_Multi[[#This Row],[FF]]+tbl_Hotel_Multi[[#This Row],[SGEe]]/tbl_Hotel_Multi[[#This Row],[CFelec]]*(1-tbl_Hotel_Multi[[#This Row],[FF]]))/(tbl_Hotel_Multi[[#This Row],[SGEg2008]]*tbl_Hotel_Multi[[#This Row],[FF]]+tbl_Hotel_Multi[[#This Row],[SGEe2008]]/tbl_Hotel_Multi[[#This Row],[CFelec]]*(1-tbl_Hotel_Multi[[#This Row],[FF]]))</calculatedColumnFormula>
    </tableColumn>
    <tableColumn id="206" xr3:uid="{BB8E8EBF-ED40-4719-80D7-F9FCB8D0BEB0}" name="FF" dataDxfId="1489">
      <calculatedColumnFormula>INDEX(tbl_FF_Lookup[FF],MATCH("Hotels",tbl_FF_Lookup[Tool],0))</calculatedColumnFormula>
    </tableColumn>
    <tableColumn id="63" xr3:uid="{4E3BECC2-1FAA-4182-A8D5-87F1EA007ABC}" name="Predicted Total Water Consumption" dataDxfId="1488">
      <calculatedColumnFormula>tbl_Hotel_Multi[[#This Row],[wr]]*tbl_Hotel_Multi[[#This Row],[Rooms]]</calculatedColumnFormula>
    </tableColumn>
    <tableColumn id="52" xr3:uid="{9106EC7D-7195-4494-B888-988240679139}" name="wr" dataDxfId="1487">
      <calculatedColumnFormula>Hotel_C_W_Offset+tbl_Hotel_Multi[[#This Row],[61.28*nfsl/N]]+tbl_Hotel_Multi[[#This Row],[19.24*(S-2)]]+tbl_Hotel_Multi[[#This Row],[0.0338*CDD]]+tbl_Hotel_Multi[[#This Row],[13.84*nfuncseats/N]]</calculatedColumnFormula>
    </tableColumn>
    <tableColumn id="6" xr3:uid="{7077E634-80E7-4123-B057-50965EEB7784}" name="wr,CDD=0" dataDxfId="1486">
      <calculatedColumnFormula>Hotel_C_W_Offset+tbl_Hotel_Multi[[#This Row],[61.28*nfsl/N]]+tbl_Hotel_Multi[[#This Row],[19.24*(S-2)]]+tbl_Hotel_Multi[[#This Row],[13.84*nfuncseats/N]]</calculatedColumnFormula>
    </tableColumn>
    <tableColumn id="54" xr3:uid="{5DF9D8C2-41D8-4DA4-B37C-60B69C25ECAA}" name="61.28*nfsl/N" dataDxfId="1485">
      <calculatedColumnFormula>Hotel_C_W_Nfsl*tbl_Hotel_Multi[[#This Row],[nfsl]]/tbl_Hotel_Multi[[#This Row],[Rooms]]</calculatedColumnFormula>
    </tableColumn>
    <tableColumn id="55" xr3:uid="{139BEAE0-92DF-4FBF-AB71-22F300673D86}" name="19.24*(S-2)" dataDxfId="1484">
      <calculatedColumnFormula>Hotel_C_W_AAA_Rating*(tbl_Hotel_Multi[[#This Row],[AAAStar]]-2)</calculatedColumnFormula>
    </tableColumn>
    <tableColumn id="56" xr3:uid="{2BF5EA65-2DC5-4C6F-BEE2-71F58FCE11E1}" name="0.0338*CDD" dataDxfId="1483">
      <calculatedColumnFormula>Hotel_C_W_Cooling*tbl_Hotel_Multi[[#This Row],[CDD]]</calculatedColumnFormula>
    </tableColumn>
    <tableColumn id="57" xr3:uid="{64F8E774-5F41-47A5-96FF-0A79D6A6C9F1}" name="13.84*nfuncseats/N" dataDxfId="1482">
      <calculatedColumnFormula>Hotel_C_W_Function_Seats*tbl_Hotel_Multi[[#This Row],[nfuncseats]]/tbl_Hotel_Multi[[#This Row],[Rooms]]</calculatedColumnFormula>
    </tableColumn>
    <tableColumn id="8" xr3:uid="{A74C0305-B239-49DE-8D95-4A6FB3E5E1B1}" name="5 starCDD0 parameter calc" dataDxfId="1481">
      <calculatedColumnFormula>(1+(5-Hotel_C_W_5_star_ref-Hotel_C_W_Median_Rating)/Hotel_C_W_Rating_Coefficient)</calculatedColumnFormula>
    </tableColumn>
    <tableColumn id="7" xr3:uid="{0F1C0BFA-9023-4B94-822E-2DE94154364E}" name="w5,CDD=0" dataDxfId="1480">
      <calculatedColumnFormula>tbl_Hotel_Multi[[#This Row],[5 starCDD0 parameter calc]]*tbl_Hotel_Multi[[#This Row],[wr,CDD=0]]</calculatedColumnFormula>
    </tableColumn>
    <tableColumn id="169" xr3:uid="{75B3B4AD-8B95-41B2-8EF0-605C1F5F2175}" name="Target Residual (p)" dataDxfId="1479">
      <calculatedColumnFormula>IF(tbl_Hotel_Multi[[#This Row],[Target Energy]]&gt;5,(tbl_Hotel_Multi[[#This Row],[Target Energy]]-Hotel_C_Reverse_Star_Band_Residual_Adjustment-Hotel_C_E_Median_R_above_5_stars)/(Hotel_C_E_Rating_Coefficient_above_5_stars),(tbl_Hotel_Multi[[#This Row],[Target Energy]]-Hotel_C_Reverse_Star_Band_Residual_Adjustment-Hotel_C_E_Median_Rating)/(Hotel_C_E_Rating_Coefficient))</calculatedColumnFormula>
    </tableColumn>
    <tableColumn id="237" xr3:uid="{CE30C09B-2C58-4EF7-8238-58393D9D8766}" name="Target Max e" dataDxfId="1478">
      <calculatedColumnFormula>tbl_Hotel_Multi[[#This Row],[er]]*(tbl_Hotel_Multi[[#This Row],[Target Residual (p)]]+1)</calculatedColumnFormula>
    </tableColumn>
    <tableColumn id="238" xr3:uid="{E01DB5FE-4EF5-4080-B182-04567E96BA37}" name="Target Max CO2" dataDxfId="1477">
      <calculatedColumnFormula>tbl_Hotel_Multi[[#This Row],[Target Max e]]*tbl_Hotel_Multi[[#This Row],[Rooms]]</calculatedColumnFormula>
    </tableColumn>
    <tableColumn id="239" xr3:uid="{61A3B8CB-D379-45AD-8ED0-71AAAC7D2019}" name="Target Max Energy (MJ)" dataDxfId="1476">
      <calculatedColumnFormula>tbl_Hotel_Multi[[#This Row],[Target Max CO2]]/tbl_Hotel_Multi[[#This Row],[EffGHG]]</calculatedColumnFormula>
    </tableColumn>
    <tableColumn id="150" xr3:uid="{B279A7E1-D45C-47B5-99AB-B2D93EBB1830}" name="Target Max Energy Intensity" dataDxfId="1475">
      <calculatedColumnFormula>tbl_Hotel_Multi[[#This Row],[Target Max Energy (MJ)]]/tbl_Hotel_Multi[[#This Row],[Rooms]]</calculatedColumnFormula>
    </tableColumn>
    <tableColumn id="240" xr3:uid="{D904A219-68E8-4D3F-A543-884F4FD351FA}" name="Target Max Elec (kWh)" dataDxfId="1474">
      <calculatedColumnFormula>ROUNDDOWN(tbl_Hotel_Multi[[#This Row],[Target Max Energy (MJ)]]*tbl_Hotel_Multi[[#This Row],[Electricity (%)]]/tbl_Hotel_Multi[[#This Row],[CFelec]],0)</calculatedColumnFormula>
    </tableColumn>
    <tableColumn id="241" xr3:uid="{5A68BD4A-36F5-4B89-AB4B-5966CE4E6393}" name="Target Max Gas (MJ)" dataDxfId="1473">
      <calculatedColumnFormula>ROUNDDOWN(tbl_Hotel_Multi[[#This Row],[Target Max Energy (MJ)]]*tbl_Hotel_Multi[[#This Row],[Gas (%)]],0)</calculatedColumnFormula>
    </tableColumn>
    <tableColumn id="242" xr3:uid="{7B80FA1B-714D-4B1B-BC75-7AB05BEA6B41}" name="Target Max Diesel (L)" dataDxfId="1472">
      <calculatedColumnFormula>ROUNDDOWN(tbl_Hotel_Multi[[#This Row],[Target Max Energy (MJ)]]*tbl_Hotel_Multi[[#This Row],[Diesel (%)]]/tbl_Hotel_Multi[[#This Row],[CFdiesel]],0)</calculatedColumnFormula>
    </tableColumn>
    <tableColumn id="252" xr3:uid="{16F2513C-862E-4175-B858-CAC9DE5F2B79}" name="Target Scopes 1,2&amp;3" dataDxfId="1471">
      <calculatedColumnFormula>SUM(tbl_Hotel_Multi[[#This Row],[Target Max Elec (kWh)]]*tbl_Hotel_Multi[[#This Row],[SGEe Scopes 1,2&amp;3]],
tbl_Hotel_Multi[[#This Row],[Target Max Gas (MJ)]]*tbl_Hotel_Multi[[#This Row],[SGEg Scopes 1,2&amp;3]],
tbl_Hotel_Multi[[#This Row],[Target Max Diesel (L)]]*tbl_Hotel_Multi[[#This Row],[SGEd Scopes 1,2&amp;3]])</calculatedColumnFormula>
    </tableColumn>
    <tableColumn id="253" xr3:uid="{AFD49736-3DAB-4E51-8F89-4D3CC8684740}" name="Target Scopes 1&amp;2" dataDxfId="1470">
      <calculatedColumnFormula>SUM(tbl_Hotel_Multi[[#This Row],[Target Max Elec (kWh)]]*tbl_Hotel_Multi[[#This Row],[SGEe Scopes 1&amp;2]],
tbl_Hotel_Multi[[#This Row],[Target Max Gas (MJ)]]*tbl_Hotel_Multi[[#This Row],[SGEg Scopes 1&amp;2]],
tbl_Hotel_Multi[[#This Row],[Target Max Diesel (L)]]*tbl_Hotel_Multi[[#This Row],[SGEd Scopes 1&amp;2]])</calculatedColumnFormula>
    </tableColumn>
    <tableColumn id="255" xr3:uid="{B49571ED-42FD-47BB-B39F-E0104FDCF1AB}" name="Target Max Water (kL)" dataDxfId="1469">
      <calculatedColumnFormula>ROUNDDOWN(tbl_Hotel_Multi[[#This Row],[Target max Water (kL/room)]]*tbl_Hotel_Multi[[#This Row],[Rooms]],0)</calculatedColumnFormula>
    </tableColumn>
    <tableColumn id="179" xr3:uid="{DD7E9453-AC30-4273-8B99-2E5503EDCF33}" name="Target max Water (kL/room)" dataDxfId="1468">
      <calculatedColumnFormula>IF(tbl_Hotel_Multi[[#This Row],[Target Water]]&lt;=5,((tbl_Hotel_Multi[[#This Row],[Target Water]]-Hotel_C_Reverse_Star_Band_Residual_Adjustment-Hotel_C_W_Median_Rating)*(tbl_Hotel_Multi[[#This Row],[w5,CDD=0]]-tbl_Hotel_Multi[[#This Row],[wr]])/Hotel_C_W_Median_Rating+tbl_Hotel_Multi[[#This Row],[wr]]),
(6.50001+Hotel_C_Reverse_Star_Band_Residual_Adjustment-tbl_Hotel_Multi[[#This Row],[Target Water]])*tbl_Hotel_Multi[[#This Row],[w5,CDD=0]]/2)</calculatedColumnFormula>
    </tableColumn>
    <tableColumn id="64" xr3:uid="{02660C7C-DD73-4A61-A3E0-C5DF4B0EED55}" name="6.0* Max Residual" dataDxfId="1467">
      <calculatedColumnFormula>IF(LEFT(tbl_Hotel_Multi[[#Headers],[6.0* Max Residual]],3)*1&gt;5,(LEFT(tbl_Hotel_Multi[[#Headers],[6.0* Max Residual]],3)-Hotel_C_Reverse_Star_Band_Residual_Adjustment-Hotel_C_E_Median_R_above_5_stars)/(Hotel_C_E_Rating_Coefficient_above_5_stars),
(LEFT(tbl_Hotel_Multi[[#Headers],[6.0* Max Residual]],3)-Hotel_C_Reverse_Star_Band_Residual_Adjustment-Hotel_C_E_Median_Rating)/(Hotel_C_E_Rating_Coefficient))</calculatedColumnFormula>
    </tableColumn>
    <tableColumn id="65" xr3:uid="{607D9672-5BD6-474D-8457-2E281C3BB157}" name="5.5* Max Residual" dataDxfId="1466">
      <calculatedColumnFormula>IF(LEFT(tbl_Hotel_Multi[[#Headers],[5.5* Max Residual]],3)*1&gt;5,(LEFT(tbl_Hotel_Multi[[#Headers],[5.5* Max Residual]],3)-Hotel_C_Reverse_Star_Band_Residual_Adjustment-Hotel_C_E_Median_R_above_5_stars)/(Hotel_C_E_Rating_Coefficient_above_5_stars),
(LEFT(tbl_Hotel_Multi[[#Headers],[5.5* Max Residual]],3)-Hotel_C_Reverse_Star_Band_Residual_Adjustment-Hotel_C_E_Median_Rating)/(Hotel_C_E_Rating_Coefficient))</calculatedColumnFormula>
    </tableColumn>
    <tableColumn id="66" xr3:uid="{05C374F3-1006-4C27-A41C-D718E4F36768}" name="5.0* Max Residual" dataDxfId="1465">
      <calculatedColumnFormula>IF(LEFT(tbl_Hotel_Multi[[#Headers],[5.0* Max Residual]],3)*1&gt;5,(LEFT(tbl_Hotel_Multi[[#Headers],[5.0* Max Residual]],3)-Hotel_C_Reverse_Star_Band_Residual_Adjustment-Hotel_C_E_Median_R_above_5_stars)/(Hotel_C_E_Rating_Coefficient_above_5_stars),
(LEFT(tbl_Hotel_Multi[[#Headers],[5.0* Max Residual]],3)-Hotel_C_Reverse_Star_Band_Residual_Adjustment-Hotel_C_E_Median_Rating)/(Hotel_C_E_Rating_Coefficient))</calculatedColumnFormula>
    </tableColumn>
    <tableColumn id="67" xr3:uid="{EB9E1F2D-9739-4E8F-8E7B-3E8A1EA5DF39}" name="4.5* Max Residual" dataDxfId="1464">
      <calculatedColumnFormula>IF(LEFT(tbl_Hotel_Multi[[#Headers],[4.5* Max Residual]],3)*1&gt;5,(LEFT(tbl_Hotel_Multi[[#Headers],[4.5* Max Residual]],3)-Hotel_C_Reverse_Star_Band_Residual_Adjustment-Hotel_C_E_Median_R_above_5_stars)/(Hotel_C_E_Rating_Coefficient_above_5_stars),
(LEFT(tbl_Hotel_Multi[[#Headers],[4.5* Max Residual]],3)-Hotel_C_Reverse_Star_Band_Residual_Adjustment-Hotel_C_E_Median_Rating)/(Hotel_C_E_Rating_Coefficient))</calculatedColumnFormula>
    </tableColumn>
    <tableColumn id="68" xr3:uid="{199447D5-50DF-4815-BB5E-15ADFB4E6481}" name="4.0* Max Residual" dataDxfId="1463">
      <calculatedColumnFormula>IF(LEFT(tbl_Hotel_Multi[[#Headers],[4.0* Max Residual]],3)*1&gt;5,(LEFT(tbl_Hotel_Multi[[#Headers],[4.0* Max Residual]],3)-Hotel_C_Reverse_Star_Band_Residual_Adjustment-Hotel_C_E_Median_R_above_5_stars)/(Hotel_C_E_Rating_Coefficient_above_5_stars),
(LEFT(tbl_Hotel_Multi[[#Headers],[4.0* Max Residual]],3)-Hotel_C_Reverse_Star_Band_Residual_Adjustment-Hotel_C_E_Median_Rating)/(Hotel_C_E_Rating_Coefficient))</calculatedColumnFormula>
    </tableColumn>
    <tableColumn id="69" xr3:uid="{6C9AA3FC-5457-4626-9765-F6FAA04F85F3}" name="3.5* Max Residual" dataDxfId="1462">
      <calculatedColumnFormula>IF(LEFT(tbl_Hotel_Multi[[#Headers],[3.5* Max Residual]],3)*1&gt;5,(LEFT(tbl_Hotel_Multi[[#Headers],[3.5* Max Residual]],3)-Hotel_C_Reverse_Star_Band_Residual_Adjustment-Hotel_C_E_Median_R_above_5_stars)/(Hotel_C_E_Rating_Coefficient_above_5_stars),
(LEFT(tbl_Hotel_Multi[[#Headers],[3.5* Max Residual]],3)-Hotel_C_Reverse_Star_Band_Residual_Adjustment-Hotel_C_E_Median_Rating)/(Hotel_C_E_Rating_Coefficient))</calculatedColumnFormula>
    </tableColumn>
    <tableColumn id="70" xr3:uid="{9ABB2579-B75D-42A5-9E34-EFCE02510CED}" name="3.0* Max Residual" dataDxfId="1461">
      <calculatedColumnFormula>IF(LEFT(tbl_Hotel_Multi[[#Headers],[3.0* Max Residual]],3)*1&gt;5,(LEFT(tbl_Hotel_Multi[[#Headers],[3.0* Max Residual]],3)-Hotel_C_Reverse_Star_Band_Residual_Adjustment-Hotel_C_E_Median_R_above_5_stars)/(Hotel_C_E_Rating_Coefficient_above_5_stars),
(LEFT(tbl_Hotel_Multi[[#Headers],[3.0* Max Residual]],3)-Hotel_C_Reverse_Star_Band_Residual_Adjustment-Hotel_C_E_Median_Rating)/(Hotel_C_E_Rating_Coefficient))</calculatedColumnFormula>
    </tableColumn>
    <tableColumn id="71" xr3:uid="{4ADBA19F-FA7E-45E2-8859-413C6BD2B989}" name="2.5* Max Residual" dataDxfId="1460">
      <calculatedColumnFormula>IF(LEFT(tbl_Hotel_Multi[[#Headers],[2.5* Max Residual]],3)*1&gt;5,(LEFT(tbl_Hotel_Multi[[#Headers],[2.5* Max Residual]],3)-Hotel_C_Reverse_Star_Band_Residual_Adjustment-Hotel_C_E_Median_R_above_5_stars)/(Hotel_C_E_Rating_Coefficient_above_5_stars),
(LEFT(tbl_Hotel_Multi[[#Headers],[2.5* Max Residual]],3)-Hotel_C_Reverse_Star_Band_Residual_Adjustment-Hotel_C_E_Median_Rating)/(Hotel_C_E_Rating_Coefficient))</calculatedColumnFormula>
    </tableColumn>
    <tableColumn id="72" xr3:uid="{309590D4-FAA1-48DC-B946-A6BAC57DAFF7}" name="2.0* Max Residual" dataDxfId="1459">
      <calculatedColumnFormula>IF(LEFT(tbl_Hotel_Multi[[#Headers],[2.0* Max Residual]],3)*1&gt;5,(LEFT(tbl_Hotel_Multi[[#Headers],[2.0* Max Residual]],3)-Hotel_C_Reverse_Star_Band_Residual_Adjustment-Hotel_C_E_Median_R_above_5_stars)/(Hotel_C_E_Rating_Coefficient_above_5_stars),
(LEFT(tbl_Hotel_Multi[[#Headers],[2.0* Max Residual]],3)-Hotel_C_Reverse_Star_Band_Residual_Adjustment-Hotel_C_E_Median_Rating)/(Hotel_C_E_Rating_Coefficient))</calculatedColumnFormula>
    </tableColumn>
    <tableColumn id="73" xr3:uid="{D8D50F16-9E13-4D69-9AB2-5164A58235C6}" name="1.5* Max Residual" dataDxfId="1458">
      <calculatedColumnFormula>IF(LEFT(tbl_Hotel_Multi[[#Headers],[1.5* Max Residual]],3)*1&gt;5,(LEFT(tbl_Hotel_Multi[[#Headers],[1.5* Max Residual]],3)-Hotel_C_Reverse_Star_Band_Residual_Adjustment-Hotel_C_E_Median_R_above_5_stars)/(Hotel_C_E_Rating_Coefficient_above_5_stars),
(LEFT(tbl_Hotel_Multi[[#Headers],[1.5* Max Residual]],3)-Hotel_C_Reverse_Star_Band_Residual_Adjustment-Hotel_C_E_Median_Rating)/(Hotel_C_E_Rating_Coefficient))</calculatedColumnFormula>
    </tableColumn>
    <tableColumn id="74" xr3:uid="{B3BC5DA8-6373-4289-962E-60B3E77DD483}" name="1.0* Max Residual" dataDxfId="1457">
      <calculatedColumnFormula>IF(LEFT(tbl_Hotel_Multi[[#Headers],[1.0* Max Residual]],3)*1&gt;5,(LEFT(tbl_Hotel_Multi[[#Headers],[1.0* Max Residual]],3)-Hotel_C_Reverse_Star_Band_Residual_Adjustment-Hotel_C_E_Median_R_above_5_stars)/(Hotel_C_E_Rating_Coefficient_above_5_stars),
(LEFT(tbl_Hotel_Multi[[#Headers],[1.0* Max Residual]],3)-Hotel_C_Reverse_Star_Band_Residual_Adjustment-Hotel_C_E_Median_Rating)/(Hotel_C_E_Rating_Coefficient))</calculatedColumnFormula>
    </tableColumn>
    <tableColumn id="9" xr3:uid="{46BB3043-F89C-4068-A9BC-B88F4B403F56}" name="0.0* Max Residual" dataDxfId="1456">
      <calculatedColumnFormula>IF(LEFT(tbl_Hotel_Multi[[#Headers],[0.0* Max Residual]],3)*1&gt;5,(LEFT(tbl_Hotel_Multi[[#Headers],[0.0* Max Residual]],3)-Hotel_C_Reverse_Star_Band_Residual_Adjustment-Hotel_C_E_Median_R_above_5_stars)/(Hotel_C_E_Rating_Coefficient_above_5_stars),
(LEFT(tbl_Hotel_Multi[[#Headers],[0.0* Max Residual]],3)-Hotel_C_Reverse_Star_Band_Residual_Adjustment-Hotel_C_E_Median_Rating)/(Hotel_C_E_Rating_Coefficient))</calculatedColumnFormula>
    </tableColumn>
    <tableColumn id="75" xr3:uid="{9190A063-7F67-41AA-BBAA-37C2FFA357A1}" name="6.0* Max e" dataDxfId="1455">
      <calculatedColumnFormula>tbl_Hotel_Multi[[er]:[er]]*(tbl_Hotel_Multi[[#This Row],[6.0* Max Residual]]+1)</calculatedColumnFormula>
    </tableColumn>
    <tableColumn id="76" xr3:uid="{A5A9BC04-DA12-4E87-9B5F-D6CD1B6973AC}" name="5.5* Max e" dataDxfId="1454">
      <calculatedColumnFormula>tbl_Hotel_Multi[[er]:[er]]*(tbl_Hotel_Multi[[#This Row],[5.5* Max Residual]]+1)</calculatedColumnFormula>
    </tableColumn>
    <tableColumn id="77" xr3:uid="{19CFA287-1506-48E9-B24F-5DA443355D64}" name="5.0* Max e" dataDxfId="1453">
      <calculatedColumnFormula>tbl_Hotel_Multi[[er]:[er]]*(tbl_Hotel_Multi[[#This Row],[5.0* Max Residual]]+1)</calculatedColumnFormula>
    </tableColumn>
    <tableColumn id="78" xr3:uid="{1961A494-0EBE-4D48-AF6E-FA103D7209A7}" name="4.5* Max e" dataDxfId="1452">
      <calculatedColumnFormula>tbl_Hotel_Multi[[er]:[er]]*(tbl_Hotel_Multi[[#This Row],[4.5* Max Residual]]+1)</calculatedColumnFormula>
    </tableColumn>
    <tableColumn id="79" xr3:uid="{E34696AC-F2DD-4295-8ADB-7F27A2022FDF}" name="4.0* Max e" dataDxfId="1451">
      <calculatedColumnFormula>tbl_Hotel_Multi[[er]:[er]]*(tbl_Hotel_Multi[[#This Row],[4.0* Max Residual]]+1)</calculatedColumnFormula>
    </tableColumn>
    <tableColumn id="80" xr3:uid="{D5309B72-5E66-46CD-A45F-8593153C3F5D}" name="3.5* Max e" dataDxfId="1450">
      <calculatedColumnFormula>tbl_Hotel_Multi[[er]:[er]]*(tbl_Hotel_Multi[[#This Row],[3.5* Max Residual]]+1)</calculatedColumnFormula>
    </tableColumn>
    <tableColumn id="81" xr3:uid="{7499BC7C-CA42-4966-8723-A404F7F1F853}" name="3.0* Max e" dataDxfId="1449">
      <calculatedColumnFormula>tbl_Hotel_Multi[[er]:[er]]*(tbl_Hotel_Multi[[#This Row],[3.0* Max Residual]]+1)</calculatedColumnFormula>
    </tableColumn>
    <tableColumn id="82" xr3:uid="{6CEFA3DD-EB63-4E4A-AA7F-0A3CA9BD0871}" name="2.5* Max e" dataDxfId="1448">
      <calculatedColumnFormula>tbl_Hotel_Multi[[er]:[er]]*(tbl_Hotel_Multi[[#This Row],[2.5* Max Residual]]+1)</calculatedColumnFormula>
    </tableColumn>
    <tableColumn id="83" xr3:uid="{B8DD79EC-B82C-4D6F-9E20-37953F4E2911}" name="2.0* Max e" dataDxfId="1447">
      <calculatedColumnFormula>tbl_Hotel_Multi[[er]:[er]]*(tbl_Hotel_Multi[[#This Row],[2.0* Max Residual]]+1)</calculatedColumnFormula>
    </tableColumn>
    <tableColumn id="84" xr3:uid="{A6695580-3EA5-43C6-9E09-9FBED4EF0AF8}" name="1.5* Max e" dataDxfId="1446">
      <calculatedColumnFormula>tbl_Hotel_Multi[[er]:[er]]*(tbl_Hotel_Multi[[#This Row],[1.5* Max Residual]]+1)</calculatedColumnFormula>
    </tableColumn>
    <tableColumn id="85" xr3:uid="{A5F32862-A903-42E2-A4B6-D87F64B6933E}" name="1.0* Max e" dataDxfId="1445">
      <calculatedColumnFormula>tbl_Hotel_Multi[[er]:[er]]*(tbl_Hotel_Multi[[#This Row],[1.0* Max Residual]]+1)</calculatedColumnFormula>
    </tableColumn>
    <tableColumn id="46" xr3:uid="{69103790-6AEA-4718-8B86-5EB5C206FB88}" name="0.0* Max e" dataDxfId="1444">
      <calculatedColumnFormula>tbl_Hotel_Multi[[er]:[er]]*(tbl_Hotel_Multi[[#This Row],[0.0* Max Residual]]+1)</calculatedColumnFormula>
    </tableColumn>
    <tableColumn id="86" xr3:uid="{F5539242-1149-4E19-B304-59B544F70F2A}" name="6.0* Max CO2" dataDxfId="1443">
      <calculatedColumnFormula>tbl_Hotel_Multi[[#This Row],[6.0* Max e]]*tbl_Hotel_Multi[[Rooms]:[Rooms]]</calculatedColumnFormula>
    </tableColumn>
    <tableColumn id="87" xr3:uid="{1A24DDBA-D336-49DD-8FB7-BBCD1FA5683D}" name="5.5* Max CO2" dataDxfId="1442">
      <calculatedColumnFormula>tbl_Hotel_Multi[[#This Row],[5.5* Max e]]*tbl_Hotel_Multi[[Rooms]:[Rooms]]</calculatedColumnFormula>
    </tableColumn>
    <tableColumn id="88" xr3:uid="{85F390C1-36CC-4C6F-9188-64F0DBAD990E}" name="5.0* Max CO2" dataDxfId="1441">
      <calculatedColumnFormula>tbl_Hotel_Multi[[#This Row],[5.0* Max e]]*tbl_Hotel_Multi[[Rooms]:[Rooms]]</calculatedColumnFormula>
    </tableColumn>
    <tableColumn id="89" xr3:uid="{27BFA169-5408-47B4-8211-09A5552DBE44}" name="4.5* Max CO2" dataDxfId="1440">
      <calculatedColumnFormula>tbl_Hotel_Multi[[#This Row],[4.5* Max e]]*tbl_Hotel_Multi[[Rooms]:[Rooms]]</calculatedColumnFormula>
    </tableColumn>
    <tableColumn id="90" xr3:uid="{B00035FC-4CAC-4C1F-81AE-A6814254B663}" name="4.0* Max CO2" dataDxfId="1439">
      <calculatedColumnFormula>tbl_Hotel_Multi[[#This Row],[4.0* Max e]]*tbl_Hotel_Multi[[Rooms]:[Rooms]]</calculatedColumnFormula>
    </tableColumn>
    <tableColumn id="91" xr3:uid="{0FE677F0-20B5-4CAA-B451-C6AA95881192}" name="3.5* Max CO2" dataDxfId="1438">
      <calculatedColumnFormula>tbl_Hotel_Multi[[#This Row],[3.5* Max e]]*tbl_Hotel_Multi[[Rooms]:[Rooms]]</calculatedColumnFormula>
    </tableColumn>
    <tableColumn id="92" xr3:uid="{3FA98DFE-F042-4F72-B14B-76E5E4560FB5}" name="3.0* Max CO2" dataDxfId="1437">
      <calculatedColumnFormula>tbl_Hotel_Multi[[#This Row],[3.0* Max e]]*tbl_Hotel_Multi[[Rooms]:[Rooms]]</calculatedColumnFormula>
    </tableColumn>
    <tableColumn id="93" xr3:uid="{4310B868-BF9C-4997-8B52-17FFBDC8C68D}" name="2.5* Max CO2" dataDxfId="1436">
      <calculatedColumnFormula>tbl_Hotel_Multi[[#This Row],[2.5* Max e]]*tbl_Hotel_Multi[[Rooms]:[Rooms]]</calculatedColumnFormula>
    </tableColumn>
    <tableColumn id="94" xr3:uid="{616B2299-E87B-4F79-8D37-577C0A360D01}" name="2.0* Max CO2" dataDxfId="1435">
      <calculatedColumnFormula>tbl_Hotel_Multi[[#This Row],[2.0* Max e]]*tbl_Hotel_Multi[[Rooms]:[Rooms]]</calculatedColumnFormula>
    </tableColumn>
    <tableColumn id="95" xr3:uid="{33FF32EB-6332-4464-94B4-A48EDEEF5911}" name="1.5* Max CO2" dataDxfId="1434">
      <calculatedColumnFormula>tbl_Hotel_Multi[[#This Row],[1.5* Max e]]*tbl_Hotel_Multi[[Rooms]:[Rooms]]</calculatedColumnFormula>
    </tableColumn>
    <tableColumn id="96" xr3:uid="{3CE9999B-68E0-4AED-99D0-C81B2326FED9}" name="1.0* Max CO2" dataDxfId="1433">
      <calculatedColumnFormula>tbl_Hotel_Multi[[#This Row],[1.0* Max e]]*tbl_Hotel_Multi[[Rooms]:[Rooms]]</calculatedColumnFormula>
    </tableColumn>
    <tableColumn id="47" xr3:uid="{94532D27-B909-4818-A67A-7C0D2D737B89}" name="0.0* Max CO2" dataDxfId="1432">
      <calculatedColumnFormula>tbl_Hotel_Multi[[#This Row],[0.0* Max e]]*tbl_Hotel_Multi[[Rooms]:[Rooms]]</calculatedColumnFormula>
    </tableColumn>
    <tableColumn id="155" xr3:uid="{2647FC07-3498-4630-A89B-87E1A562A343}" name="6.0* Max Energy (MJ)" dataDxfId="1431">
      <calculatedColumnFormula>tbl_Hotel_Multi[[#This Row],[6.0* Max CO2]]/tbl_Hotel_Multi[[EffGHG]:[EffGHG]]</calculatedColumnFormula>
    </tableColumn>
    <tableColumn id="156" xr3:uid="{8AAAA23E-0F38-4D66-BAF0-F4C37CA2401A}" name="5.5* Max Energy (MJ)" dataDxfId="1430">
      <calculatedColumnFormula>tbl_Hotel_Multi[[#This Row],[5.5* Max CO2]]/tbl_Hotel_Multi[[EffGHG]:[EffGHG]]</calculatedColumnFormula>
    </tableColumn>
    <tableColumn id="157" xr3:uid="{D75F7822-F50F-49A6-BE6C-143562325DD5}" name="5.0* Max Energy (MJ)" dataDxfId="1429">
      <calculatedColumnFormula>tbl_Hotel_Multi[[#This Row],[5.0* Max CO2]]/tbl_Hotel_Multi[[EffGHG]:[EffGHG]]</calculatedColumnFormula>
    </tableColumn>
    <tableColumn id="158" xr3:uid="{A1037DA3-83F8-4D0D-92BD-2B38B0C647B3}" name="4.5* Max Energy (MJ)" dataDxfId="1428">
      <calculatedColumnFormula>tbl_Hotel_Multi[[#This Row],[4.5* Max CO2]]/tbl_Hotel_Multi[[EffGHG]:[EffGHG]]</calculatedColumnFormula>
    </tableColumn>
    <tableColumn id="159" xr3:uid="{1053BEBF-B60C-4BC5-AD43-94AEE1689B9F}" name="4.0* Max Energy (MJ)" dataDxfId="1427">
      <calculatedColumnFormula>tbl_Hotel_Multi[[#This Row],[4.0* Max CO2]]/tbl_Hotel_Multi[[EffGHG]:[EffGHG]]</calculatedColumnFormula>
    </tableColumn>
    <tableColumn id="160" xr3:uid="{F80CAF9A-5CA1-4BEC-85CA-8F62E7119856}" name="3.5* Max Energy (MJ)" dataDxfId="1426">
      <calculatedColumnFormula>tbl_Hotel_Multi[[#This Row],[3.5* Max CO2]]/tbl_Hotel_Multi[[EffGHG]:[EffGHG]]</calculatedColumnFormula>
    </tableColumn>
    <tableColumn id="161" xr3:uid="{9BE4FBE9-F9AC-47A5-97F0-EBBEDB0E04FD}" name="3.0* Max Energy (MJ)" dataDxfId="1425">
      <calculatedColumnFormula>tbl_Hotel_Multi[[#This Row],[3.0* Max CO2]]/tbl_Hotel_Multi[[EffGHG]:[EffGHG]]</calculatedColumnFormula>
    </tableColumn>
    <tableColumn id="162" xr3:uid="{54FCD112-69B9-4113-B283-D19561FA5AF7}" name="2.5* Max Energy (MJ)" dataDxfId="1424">
      <calculatedColumnFormula>tbl_Hotel_Multi[[#This Row],[2.5* Max CO2]]/tbl_Hotel_Multi[[EffGHG]:[EffGHG]]</calculatedColumnFormula>
    </tableColumn>
    <tableColumn id="163" xr3:uid="{171E100E-B87C-486F-8C35-8FEB1773C72B}" name="2.0* Max Energy (MJ)" dataDxfId="1423">
      <calculatedColumnFormula>tbl_Hotel_Multi[[#This Row],[2.0* Max CO2]]/tbl_Hotel_Multi[[EffGHG]:[EffGHG]]</calculatedColumnFormula>
    </tableColumn>
    <tableColumn id="164" xr3:uid="{FF92C04C-9779-4E1D-9E0A-C2E5BD828BC1}" name="1.5* Max Energy (MJ)" dataDxfId="1422">
      <calculatedColumnFormula>tbl_Hotel_Multi[[#This Row],[1.5* Max CO2]]/tbl_Hotel_Multi[[EffGHG]:[EffGHG]]</calculatedColumnFormula>
    </tableColumn>
    <tableColumn id="165" xr3:uid="{2545095E-7ACF-49C3-8CF1-24FF587F8064}" name="1.0* Max Energy (MJ)" dataDxfId="1421">
      <calculatedColumnFormula>tbl_Hotel_Multi[[#This Row],[1.0* Max CO2]]/tbl_Hotel_Multi[[EffGHG]:[EffGHG]]</calculatedColumnFormula>
    </tableColumn>
    <tableColumn id="61" xr3:uid="{BF48C25D-5912-433A-AFBD-25C968E994D7}" name="0.0* Max Energy (MJ)" dataDxfId="1420">
      <calculatedColumnFormula>tbl_Hotel_Multi[[#This Row],[0.0* Max CO2]]/tbl_Hotel_Multi[[EffGHG]:[EffGHG]]</calculatedColumnFormula>
    </tableColumn>
    <tableColumn id="97" xr3:uid="{3F089867-DA1A-4193-AE84-5F83E3EF790E}" name="6.0* Max Elec (kWh)" dataDxfId="1419">
      <calculatedColumnFormula>ROUNDDOWN(tbl_Hotel_Multi[[#This Row],[6.0* Max Energy (MJ)]]*tbl_Hotel_Multi[[Electricity (%)]:[Electricity (%)]]/tbl_Hotel_Multi[[CFelec]:[CFelec]],0)</calculatedColumnFormula>
    </tableColumn>
    <tableColumn id="98" xr3:uid="{B0B28DF3-E1E9-453B-9AF8-56273D1E862F}" name="5.5* Max Elec (kWh)" dataDxfId="1418">
      <calculatedColumnFormula>ROUNDDOWN(tbl_Hotel_Multi[[#This Row],[5.5* Max Energy (MJ)]]*tbl_Hotel_Multi[[Electricity (%)]:[Electricity (%)]]/tbl_Hotel_Multi[[CFelec]:[CFelec]],0)</calculatedColumnFormula>
    </tableColumn>
    <tableColumn id="99" xr3:uid="{0C68A05E-9097-465D-8E29-2B0003D84AE2}" name="5.0* Max Elec (kWh)" dataDxfId="1417">
      <calculatedColumnFormula>ROUNDDOWN(tbl_Hotel_Multi[[#This Row],[5.0* Max Energy (MJ)]]*tbl_Hotel_Multi[[Electricity (%)]:[Electricity (%)]]/tbl_Hotel_Multi[[CFelec]:[CFelec]],0)</calculatedColumnFormula>
    </tableColumn>
    <tableColumn id="100" xr3:uid="{C11F65D1-F93B-49C4-891C-16718CD1EFA8}" name="4.5* Max Elec (kWh)" dataDxfId="1416">
      <calculatedColumnFormula>ROUNDDOWN(tbl_Hotel_Multi[[#This Row],[4.5* Max Energy (MJ)]]*tbl_Hotel_Multi[[Electricity (%)]:[Electricity (%)]]/tbl_Hotel_Multi[[CFelec]:[CFelec]],0)</calculatedColumnFormula>
    </tableColumn>
    <tableColumn id="101" xr3:uid="{6D52D9EB-9C78-4734-99B2-0B1DA90C10FB}" name="4.0* Max Elec (kWh)" dataDxfId="1415">
      <calculatedColumnFormula>ROUNDDOWN(tbl_Hotel_Multi[[#This Row],[4.0* Max Energy (MJ)]]*tbl_Hotel_Multi[[Electricity (%)]:[Electricity (%)]]/tbl_Hotel_Multi[[CFelec]:[CFelec]],0)</calculatedColumnFormula>
    </tableColumn>
    <tableColumn id="102" xr3:uid="{EC2947C8-23C1-4DF1-B060-148F1D419160}" name="3.5* Max Elec (kWh)" dataDxfId="1414">
      <calculatedColumnFormula>ROUNDDOWN(tbl_Hotel_Multi[[#This Row],[3.5* Max Energy (MJ)]]*tbl_Hotel_Multi[[Electricity (%)]:[Electricity (%)]]/tbl_Hotel_Multi[[CFelec]:[CFelec]],0)</calculatedColumnFormula>
    </tableColumn>
    <tableColumn id="103" xr3:uid="{FCD1C3DD-6EC8-4971-8C50-D4EB355BEFE2}" name="3.0* Max Elec (kWh)" dataDxfId="1413">
      <calculatedColumnFormula>ROUNDDOWN(tbl_Hotel_Multi[[#This Row],[3.0* Max Energy (MJ)]]*tbl_Hotel_Multi[[Electricity (%)]:[Electricity (%)]]/tbl_Hotel_Multi[[CFelec]:[CFelec]],0)</calculatedColumnFormula>
    </tableColumn>
    <tableColumn id="104" xr3:uid="{FBAD515F-3204-4794-B03F-8638099E12F5}" name="2.5* Max Elec (kWh)" dataDxfId="1412">
      <calculatedColumnFormula>ROUNDDOWN(tbl_Hotel_Multi[[#This Row],[2.5* Max Energy (MJ)]]*tbl_Hotel_Multi[[Electricity (%)]:[Electricity (%)]]/tbl_Hotel_Multi[[CFelec]:[CFelec]],0)</calculatedColumnFormula>
    </tableColumn>
    <tableColumn id="105" xr3:uid="{BE0C4386-69FC-4A6C-856F-AE907E53AD7C}" name="2.0* Max Elec (kWh)" dataDxfId="1411">
      <calculatedColumnFormula>ROUNDDOWN(tbl_Hotel_Multi[[#This Row],[2.0* Max Energy (MJ)]]*tbl_Hotel_Multi[[Electricity (%)]:[Electricity (%)]]/tbl_Hotel_Multi[[CFelec]:[CFelec]],0)</calculatedColumnFormula>
    </tableColumn>
    <tableColumn id="106" xr3:uid="{C3FFA7B1-B530-4B84-B6C7-767849FCAA52}" name="1.5* Max Elec (kWh)" dataDxfId="1410">
      <calculatedColumnFormula>ROUNDDOWN(tbl_Hotel_Multi[[#This Row],[1.5* Max Energy (MJ)]]*tbl_Hotel_Multi[[Electricity (%)]:[Electricity (%)]]/tbl_Hotel_Multi[[CFelec]:[CFelec]],0)</calculatedColumnFormula>
    </tableColumn>
    <tableColumn id="107" xr3:uid="{33271ED6-111D-4A84-8710-32D0D5A68DA0}" name="1.0* Max Elec (kWh)" dataDxfId="1409">
      <calculatedColumnFormula>ROUNDDOWN(tbl_Hotel_Multi[[#This Row],[1.0* Max Energy (MJ)]]*tbl_Hotel_Multi[[Electricity (%)]:[Electricity (%)]]/tbl_Hotel_Multi[[CFelec]:[CFelec]],0)</calculatedColumnFormula>
    </tableColumn>
    <tableColumn id="62" xr3:uid="{504877D1-2075-49E8-B1E8-CE4754F412B7}" name="0.0* Max Elec (kWh)" dataDxfId="1408">
      <calculatedColumnFormula>ROUNDDOWN(tbl_Hotel_Multi[[#This Row],[0.0* Max Energy (MJ)]]*tbl_Hotel_Multi[[Electricity (%)]:[Electricity (%)]]/tbl_Hotel_Multi[[CFelec]:[CFelec]],0)</calculatedColumnFormula>
    </tableColumn>
    <tableColumn id="108" xr3:uid="{EC3DFF34-EA11-4FF6-9B52-3524294BFAB1}" name="6.0* Max Gas (MJ)" dataDxfId="1407">
      <calculatedColumnFormula>ROUNDDOWN(tbl_Hotel_Multi[[#This Row],[6.0* Max Energy (MJ)]]*tbl_Hotel_Multi[[Gas (%)]:[Gas (%)]],0)</calculatedColumnFormula>
    </tableColumn>
    <tableColumn id="109" xr3:uid="{6C58C295-417B-451C-9303-ED8AB5DB7834}" name="5.5* Max Gas (MJ)" dataDxfId="1406">
      <calculatedColumnFormula>ROUNDDOWN(tbl_Hotel_Multi[[#This Row],[5.5* Max Energy (MJ)]]*tbl_Hotel_Multi[[Gas (%)]:[Gas (%)]],0)</calculatedColumnFormula>
    </tableColumn>
    <tableColumn id="110" xr3:uid="{358AF960-C03D-4368-B19E-64DC306B580E}" name="5.0* Max Gas (MJ)" dataDxfId="1405">
      <calculatedColumnFormula>ROUNDDOWN(tbl_Hotel_Multi[[#This Row],[5.0* Max Energy (MJ)]]*tbl_Hotel_Multi[[Gas (%)]:[Gas (%)]],0)</calculatedColumnFormula>
    </tableColumn>
    <tableColumn id="111" xr3:uid="{94CD1D2E-E6E1-4ABF-8F62-D466300922C3}" name="4.5* Max Gas (MJ)" dataDxfId="1404">
      <calculatedColumnFormula>ROUNDDOWN(tbl_Hotel_Multi[[#This Row],[4.5* Max Energy (MJ)]]*tbl_Hotel_Multi[[Gas (%)]:[Gas (%)]],0)</calculatedColumnFormula>
    </tableColumn>
    <tableColumn id="112" xr3:uid="{E473B820-5A62-4C9D-850B-89B3E8AD45E2}" name="4.0* Max Gas (MJ)" dataDxfId="1403">
      <calculatedColumnFormula>ROUNDDOWN(tbl_Hotel_Multi[[#This Row],[4.0* Max Energy (MJ)]]*tbl_Hotel_Multi[[Gas (%)]:[Gas (%)]],0)</calculatedColumnFormula>
    </tableColumn>
    <tableColumn id="113" xr3:uid="{0B057D7B-C6B7-41BF-922F-57DDF6F81816}" name="3.5* Max Gas (MJ)" dataDxfId="1402">
      <calculatedColumnFormula>ROUNDDOWN(tbl_Hotel_Multi[[#This Row],[3.5* Max Energy (MJ)]]*tbl_Hotel_Multi[[Gas (%)]:[Gas (%)]],0)</calculatedColumnFormula>
    </tableColumn>
    <tableColumn id="114" xr3:uid="{7F850FF5-6C97-4E91-A58B-7048B8A9B5B4}" name="3.0* Max Gas (MJ)" dataDxfId="1401">
      <calculatedColumnFormula>ROUNDDOWN(tbl_Hotel_Multi[[#This Row],[3.0* Max Energy (MJ)]]*tbl_Hotel_Multi[[Gas (%)]:[Gas (%)]],0)</calculatedColumnFormula>
    </tableColumn>
    <tableColumn id="115" xr3:uid="{0AF784FE-435F-4167-9431-21B94C950CE3}" name="2.5* Max Gas (MJ)" dataDxfId="1400">
      <calculatedColumnFormula>ROUNDDOWN(tbl_Hotel_Multi[[#This Row],[2.5* Max Energy (MJ)]]*tbl_Hotel_Multi[[Gas (%)]:[Gas (%)]],0)</calculatedColumnFormula>
    </tableColumn>
    <tableColumn id="116" xr3:uid="{F0087665-DF83-45F8-BFF0-E8BBBFD00348}" name="2.0* Max Gas (MJ)" dataDxfId="1399">
      <calculatedColumnFormula>ROUNDDOWN(tbl_Hotel_Multi[[#This Row],[2.0* Max Energy (MJ)]]*tbl_Hotel_Multi[[Gas (%)]:[Gas (%)]],0)</calculatedColumnFormula>
    </tableColumn>
    <tableColumn id="117" xr3:uid="{F66091AE-5E8E-427A-918A-5C0F16D7E74E}" name="1.5* Max Gas (MJ)" dataDxfId="1398">
      <calculatedColumnFormula>ROUNDDOWN(tbl_Hotel_Multi[[#This Row],[1.5* Max Energy (MJ)]]*tbl_Hotel_Multi[[Gas (%)]:[Gas (%)]],0)</calculatedColumnFormula>
    </tableColumn>
    <tableColumn id="118" xr3:uid="{FB19425B-F2EA-4543-947A-CAD37E18924A}" name="1.0* Max Gas (MJ)" dataDxfId="1397">
      <calculatedColumnFormula>ROUNDDOWN(tbl_Hotel_Multi[[#This Row],[1.0* Max Energy (MJ)]]*tbl_Hotel_Multi[[Gas (%)]:[Gas (%)]],0)</calculatedColumnFormula>
    </tableColumn>
    <tableColumn id="131" xr3:uid="{909E729D-BD5C-44C7-80A2-48C1E950874F}" name="0.0* Max Gas (MJ)" dataDxfId="1396">
      <calculatedColumnFormula>ROUNDDOWN(tbl_Hotel_Multi[[#This Row],[0.0* Max Energy (MJ)]]*tbl_Hotel_Multi[[Gas (%)]:[Gas (%)]],0)</calculatedColumnFormula>
    </tableColumn>
    <tableColumn id="119" xr3:uid="{4ABBB11B-C306-40B0-84E6-FD9480A77FD9}" name="6.0* Max Diesel (L)" dataDxfId="1395">
      <calculatedColumnFormula>ROUNDDOWN(tbl_Hotel_Multi[[#This Row],[6.0* Max Energy (MJ)]]*tbl_Hotel_Multi[[Diesel (%)]:[Diesel (%)]]/tbl_Hotel_Multi[[CFdiesel]:[CFdiesel]],0)</calculatedColumnFormula>
    </tableColumn>
    <tableColumn id="120" xr3:uid="{C3720FD9-17EA-4AEC-808D-D4975C7D5EC9}" name="5.5* Max Diesel (L)" dataDxfId="1394">
      <calculatedColumnFormula>ROUNDDOWN(tbl_Hotel_Multi[[#This Row],[5.5* Max Energy (MJ)]]*tbl_Hotel_Multi[[Diesel (%)]:[Diesel (%)]]/tbl_Hotel_Multi[[CFdiesel]:[CFdiesel]],0)</calculatedColumnFormula>
    </tableColumn>
    <tableColumn id="121" xr3:uid="{F6D79F35-6422-4D83-A8FC-088178E1852D}" name="5.0* Max Diesel (L)" dataDxfId="1393">
      <calculatedColumnFormula>ROUNDDOWN(tbl_Hotel_Multi[[#This Row],[5.0* Max Energy (MJ)]]*tbl_Hotel_Multi[[Diesel (%)]:[Diesel (%)]]/tbl_Hotel_Multi[[CFdiesel]:[CFdiesel]],0)</calculatedColumnFormula>
    </tableColumn>
    <tableColumn id="122" xr3:uid="{7A9B2462-0EFE-4183-84F0-73FA0965D044}" name="4.5* Max Diesel (L)" dataDxfId="1392">
      <calculatedColumnFormula>ROUNDDOWN(tbl_Hotel_Multi[[#This Row],[4.5* Max Energy (MJ)]]*tbl_Hotel_Multi[[Diesel (%)]:[Diesel (%)]]/tbl_Hotel_Multi[[CFdiesel]:[CFdiesel]],0)</calculatedColumnFormula>
    </tableColumn>
    <tableColumn id="123" xr3:uid="{4F9AE543-1D5C-4FFE-B51F-789D9A9CFD85}" name="4.0* Max Diesel (L)" dataDxfId="1391">
      <calculatedColumnFormula>ROUNDDOWN(tbl_Hotel_Multi[[#This Row],[4.0* Max Energy (MJ)]]*tbl_Hotel_Multi[[Diesel (%)]:[Diesel (%)]]/tbl_Hotel_Multi[[CFdiesel]:[CFdiesel]],0)</calculatedColumnFormula>
    </tableColumn>
    <tableColumn id="124" xr3:uid="{C8FCD44A-72D6-4D1F-BE6D-2AD4430A841F}" name="3.5* Max Diesel (L)" dataDxfId="1390">
      <calculatedColumnFormula>ROUNDDOWN(tbl_Hotel_Multi[[#This Row],[3.5* Max Energy (MJ)]]*tbl_Hotel_Multi[[Diesel (%)]:[Diesel (%)]]/tbl_Hotel_Multi[[CFdiesel]:[CFdiesel]],0)</calculatedColumnFormula>
    </tableColumn>
    <tableColumn id="125" xr3:uid="{DB4ACEDD-F058-482D-A06C-6A36C7EA8B94}" name="3.0* Max Diesel (L)" dataDxfId="1389">
      <calculatedColumnFormula>ROUNDDOWN(tbl_Hotel_Multi[[#This Row],[3.0* Max Energy (MJ)]]*tbl_Hotel_Multi[[Diesel (%)]:[Diesel (%)]]/tbl_Hotel_Multi[[CFdiesel]:[CFdiesel]],0)</calculatedColumnFormula>
    </tableColumn>
    <tableColumn id="126" xr3:uid="{A9378D5D-DF4C-4361-A22D-1313141CEA07}" name="2.5* Max Diesel (L)" dataDxfId="1388">
      <calculatedColumnFormula>ROUNDDOWN(tbl_Hotel_Multi[[#This Row],[2.5* Max Energy (MJ)]]*tbl_Hotel_Multi[[Diesel (%)]:[Diesel (%)]]/tbl_Hotel_Multi[[CFdiesel]:[CFdiesel]],0)</calculatedColumnFormula>
    </tableColumn>
    <tableColumn id="127" xr3:uid="{01BC5F5B-E6A6-4CFA-85F3-955613C095DF}" name="2.0* Max Diesel (L)" dataDxfId="1387">
      <calculatedColumnFormula>ROUNDDOWN(tbl_Hotel_Multi[[#This Row],[2.0* Max Energy (MJ)]]*tbl_Hotel_Multi[[Diesel (%)]:[Diesel (%)]]/tbl_Hotel_Multi[[CFdiesel]:[CFdiesel]],0)</calculatedColumnFormula>
    </tableColumn>
    <tableColumn id="128" xr3:uid="{0FCEB1C3-D7A8-4195-85C8-B4E2BE3ED014}" name="1.5* Max Diesel (L)" dataDxfId="1386">
      <calculatedColumnFormula>ROUNDDOWN(tbl_Hotel_Multi[[#This Row],[1.5* Max Energy (MJ)]]*tbl_Hotel_Multi[[Diesel (%)]:[Diesel (%)]]/tbl_Hotel_Multi[[CFdiesel]:[CFdiesel]],0)</calculatedColumnFormula>
    </tableColumn>
    <tableColumn id="129" xr3:uid="{5D49D4C3-D8F9-4071-8905-0458ACFB8728}" name="1.0* Max Diesel (L)" dataDxfId="1385">
      <calculatedColumnFormula>ROUNDDOWN(tbl_Hotel_Multi[[#This Row],[1.0* Max Energy (MJ)]]*tbl_Hotel_Multi[[Diesel (%)]:[Diesel (%)]]/tbl_Hotel_Multi[[CFdiesel]:[CFdiesel]],0)</calculatedColumnFormula>
    </tableColumn>
    <tableColumn id="136" xr3:uid="{9A95E0E3-8D5D-4CAD-B4EC-8F8DD274AE07}" name="0.0* Max Diesel (L)" dataDxfId="1384">
      <calculatedColumnFormula>ROUNDDOWN(tbl_Hotel_Multi[[#This Row],[0.0* Max Energy (MJ)]]*tbl_Hotel_Multi[[Diesel (%)]:[Diesel (%)]]/tbl_Hotel_Multi[[CFdiesel]:[CFdiesel]],0)</calculatedColumnFormula>
    </tableColumn>
    <tableColumn id="191" xr3:uid="{5790E706-543F-48DE-89DA-02B3CE797A10}" name="6.0* Max Water (kL/room)" dataDxfId="1383">
      <calculatedColumnFormula>IF(LEFT(tbl_Hotel_Multi[[#Headers],[6.0* Max Water (kL/room)]],3)*1&lt;=5,((LEFT(tbl_Hotel_Multi[[#Headers],[6.0* Max Water (kL/room)]],3)-Hotel_C_Reverse_Star_Band_Residual_Adjustment-Hotel_C_W_Median_Rating)*(tbl_Hotel_Multi[[w5,CDD=0]:[w5,CDD=0]]-tbl_Hotel_Multi[[wr]:[wr]])/Hotel_C_W_Median_Rating+tbl_Hotel_Multi[[wr]:[wr]]),
(6.50001+Hotel_C_Reverse_Star_Band_Residual_Adjustment-LEFT(tbl_Hotel_Multi[[#Headers],[6.0* Max Water (kL/room)]],3))*tbl_Hotel_Multi[[w5,CDD=0]:[w5,CDD=0]]/2)</calculatedColumnFormula>
    </tableColumn>
    <tableColumn id="10" xr3:uid="{20F7E567-6333-4A24-864D-1E041DED9D76}" name="5.5* Max Water (kL/room)" dataDxfId="1382">
      <calculatedColumnFormula>IF(LEFT(tbl_Hotel_Multi[[#Headers],[5.5* Max Water (kL/room)]],3)*1&lt;=5,((LEFT(tbl_Hotel_Multi[[#Headers],[5.5* Max Water (kL/room)]],3)-Hotel_C_Reverse_Star_Band_Residual_Adjustment-Hotel_C_W_Median_Rating)*(tbl_Hotel_Multi[[w5,CDD=0]:[w5,CDD=0]]-tbl_Hotel_Multi[[wr]:[wr]])/Hotel_C_W_Median_Rating+tbl_Hotel_Multi[[wr]:[wr]]),
(6.50001+Hotel_C_Reverse_Star_Band_Residual_Adjustment-LEFT(tbl_Hotel_Multi[[#Headers],[5.5* Max Water (kL/room)]],3))*tbl_Hotel_Multi[[w5,CDD=0]:[w5,CDD=0]]/2)</calculatedColumnFormula>
    </tableColumn>
    <tableColumn id="11" xr3:uid="{429A2AB2-BD17-42AD-B38F-03D1E73BF075}" name="5.0* Max Water (kL/room)" dataDxfId="1381">
      <calculatedColumnFormula>IF(LEFT(tbl_Hotel_Multi[[#Headers],[5.0* Max Water (kL/room)]],3)*1&lt;=5,((LEFT(tbl_Hotel_Multi[[#Headers],[5.0* Max Water (kL/room)]],3)-Hotel_C_Reverse_Star_Band_Residual_Adjustment-Hotel_C_W_Median_Rating)*(tbl_Hotel_Multi[[w5,CDD=0]:[w5,CDD=0]]-tbl_Hotel_Multi[[wr]:[wr]])/Hotel_C_W_Median_Rating+tbl_Hotel_Multi[[wr]:[wr]]),
(6.50001+Hotel_C_Reverse_Star_Band_Residual_Adjustment-LEFT(tbl_Hotel_Multi[[#Headers],[5.0* Max Water (kL/room)]],3))*tbl_Hotel_Multi[[w5,CDD=0]:[w5,CDD=0]]/2)</calculatedColumnFormula>
    </tableColumn>
    <tableColumn id="16" xr3:uid="{B456FA82-8ED1-4B50-B7E9-B462A57A3D6F}" name="4.5* Max Water (kL/room)" dataDxfId="1380">
      <calculatedColumnFormula>IF(LEFT(tbl_Hotel_Multi[[#Headers],[4.5* Max Water (kL/room)]],3)*1&lt;=5,((LEFT(tbl_Hotel_Multi[[#Headers],[4.5* Max Water (kL/room)]],3)-Hotel_C_Reverse_Star_Band_Residual_Adjustment-Hotel_C_W_Median_Rating)*(tbl_Hotel_Multi[[w5,CDD=0]:[w5,CDD=0]]-tbl_Hotel_Multi[[wr]:[wr]])/Hotel_C_W_Median_Rating+tbl_Hotel_Multi[[wr]:[wr]]),
(6.50001+Hotel_C_Reverse_Star_Band_Residual_Adjustment-LEFT(tbl_Hotel_Multi[[#Headers],[4.5* Max Water (kL/room)]],3))*tbl_Hotel_Multi[[w5,CDD=0]:[w5,CDD=0]]/2)</calculatedColumnFormula>
    </tableColumn>
    <tableColumn id="37" xr3:uid="{CE8F0906-0418-496C-8887-9E99492812CC}" name="4.0* Max Water (kL/room)" dataDxfId="1379">
      <calculatedColumnFormula>IF(LEFT(tbl_Hotel_Multi[[#Headers],[4.0* Max Water (kL/room)]],3)*1&lt;=5,((LEFT(tbl_Hotel_Multi[[#Headers],[4.0* Max Water (kL/room)]],3)-Hotel_C_Reverse_Star_Band_Residual_Adjustment-Hotel_C_W_Median_Rating)*(tbl_Hotel_Multi[[w5,CDD=0]:[w5,CDD=0]]-tbl_Hotel_Multi[[wr]:[wr]])/Hotel_C_W_Median_Rating+tbl_Hotel_Multi[[wr]:[wr]]),
(6.50001+Hotel_C_Reverse_Star_Band_Residual_Adjustment-LEFT(tbl_Hotel_Multi[[#Headers],[4.0* Max Water (kL/room)]],3))*tbl_Hotel_Multi[[w5,CDD=0]:[w5,CDD=0]]/2)</calculatedColumnFormula>
    </tableColumn>
    <tableColumn id="38" xr3:uid="{3BC49580-AFE1-4760-9854-C89F2DEA8674}" name="3.5* Max Water (kL/room)" dataDxfId="1378">
      <calculatedColumnFormula>IF(LEFT(tbl_Hotel_Multi[[#Headers],[3.5* Max Water (kL/room)]],3)*1&lt;=5,((LEFT(tbl_Hotel_Multi[[#Headers],[3.5* Max Water (kL/room)]],3)-Hotel_C_Reverse_Star_Band_Residual_Adjustment-Hotel_C_W_Median_Rating)*(tbl_Hotel_Multi[[w5,CDD=0]:[w5,CDD=0]]-tbl_Hotel_Multi[[wr]:[wr]])/Hotel_C_W_Median_Rating+tbl_Hotel_Multi[[wr]:[wr]]),
(6.50001+Hotel_C_Reverse_Star_Band_Residual_Adjustment-LEFT(tbl_Hotel_Multi[[#Headers],[3.5* Max Water (kL/room)]],3))*tbl_Hotel_Multi[[w5,CDD=0]:[w5,CDD=0]]/2)</calculatedColumnFormula>
    </tableColumn>
    <tableColumn id="39" xr3:uid="{A9378D7A-235B-4506-A20F-F8ECF7CFB9ED}" name="3.0* Max Water (kL/room)" dataDxfId="1377">
      <calculatedColumnFormula>IF(LEFT(tbl_Hotel_Multi[[#Headers],[3.0* Max Water (kL/room)]],3)*1&lt;=5,((LEFT(tbl_Hotel_Multi[[#Headers],[3.0* Max Water (kL/room)]],3)-Hotel_C_Reverse_Star_Band_Residual_Adjustment-Hotel_C_W_Median_Rating)*(tbl_Hotel_Multi[[w5,CDD=0]:[w5,CDD=0]]-tbl_Hotel_Multi[[wr]:[wr]])/Hotel_C_W_Median_Rating+tbl_Hotel_Multi[[wr]:[wr]]),
(6.50001+Hotel_C_Reverse_Star_Band_Residual_Adjustment-LEFT(tbl_Hotel_Multi[[#Headers],[3.0* Max Water (kL/room)]],3))*tbl_Hotel_Multi[[w5,CDD=0]:[w5,CDD=0]]/2)</calculatedColumnFormula>
    </tableColumn>
    <tableColumn id="40" xr3:uid="{F675A891-BFD4-4F4F-B0E0-0A143181F9EE}" name="2.5* Max Water (kL/room)" dataDxfId="1376">
      <calculatedColumnFormula>IF(LEFT(tbl_Hotel_Multi[[#Headers],[2.5* Max Water (kL/room)]],3)*1&lt;=5,((LEFT(tbl_Hotel_Multi[[#Headers],[2.5* Max Water (kL/room)]],3)-Hotel_C_Reverse_Star_Band_Residual_Adjustment-Hotel_C_W_Median_Rating)*(tbl_Hotel_Multi[[w5,CDD=0]:[w5,CDD=0]]-tbl_Hotel_Multi[[wr]:[wr]])/Hotel_C_W_Median_Rating+tbl_Hotel_Multi[[wr]:[wr]]),
(6.50001+Hotel_C_Reverse_Star_Band_Residual_Adjustment-LEFT(tbl_Hotel_Multi[[#Headers],[2.5* Max Water (kL/room)]],3))*tbl_Hotel_Multi[[w5,CDD=0]:[w5,CDD=0]]/2)</calculatedColumnFormula>
    </tableColumn>
    <tableColumn id="41" xr3:uid="{EF7A1523-C146-47A6-89C2-7C1F9149D0D0}" name="2.0* Max Water (kL/room)" dataDxfId="1375">
      <calculatedColumnFormula>IF(LEFT(tbl_Hotel_Multi[[#Headers],[2.0* Max Water (kL/room)]],3)*1&lt;=5,((LEFT(tbl_Hotel_Multi[[#Headers],[2.0* Max Water (kL/room)]],3)-Hotel_C_Reverse_Star_Band_Residual_Adjustment-Hotel_C_W_Median_Rating)*(tbl_Hotel_Multi[[w5,CDD=0]:[w5,CDD=0]]-tbl_Hotel_Multi[[wr]:[wr]])/Hotel_C_W_Median_Rating+tbl_Hotel_Multi[[wr]:[wr]]),
(6.50001+Hotel_C_Reverse_Star_Band_Residual_Adjustment-LEFT(tbl_Hotel_Multi[[#Headers],[2.0* Max Water (kL/room)]],3))*tbl_Hotel_Multi[[w5,CDD=0]:[w5,CDD=0]]/2)</calculatedColumnFormula>
    </tableColumn>
    <tableColumn id="42" xr3:uid="{2B3BDDFB-D3D3-469C-8E51-25E302729708}" name="1.5* Max Water (kL/room)" dataDxfId="1374">
      <calculatedColumnFormula>IF(LEFT(tbl_Hotel_Multi[[#Headers],[1.5* Max Water (kL/room)]],3)*1&lt;=5,((LEFT(tbl_Hotel_Multi[[#Headers],[1.5* Max Water (kL/room)]],3)-Hotel_C_Reverse_Star_Band_Residual_Adjustment-Hotel_C_W_Median_Rating)*(tbl_Hotel_Multi[[w5,CDD=0]:[w5,CDD=0]]-tbl_Hotel_Multi[[wr]:[wr]])/Hotel_C_W_Median_Rating+tbl_Hotel_Multi[[wr]:[wr]]),
(6.50001+Hotel_C_Reverse_Star_Band_Residual_Adjustment-LEFT(tbl_Hotel_Multi[[#Headers],[1.5* Max Water (kL/room)]],3))*tbl_Hotel_Multi[[w5,CDD=0]:[w5,CDD=0]]/2)</calculatedColumnFormula>
    </tableColumn>
    <tableColumn id="43" xr3:uid="{E3CF75F2-A458-4ADC-9688-24F0C3A86C02}" name="1.0* Max Water (kL/room)" dataDxfId="1373">
      <calculatedColumnFormula>IF(LEFT(tbl_Hotel_Multi[[#Headers],[1.0* Max Water (kL/room)]],3)*1&lt;=5,((LEFT(tbl_Hotel_Multi[[#Headers],[1.0* Max Water (kL/room)]],3)-Hotel_C_Reverse_Star_Band_Residual_Adjustment-Hotel_C_W_Median_Rating)*(tbl_Hotel_Multi[[w5,CDD=0]:[w5,CDD=0]]-tbl_Hotel_Multi[[wr]:[wr]])/Hotel_C_W_Median_Rating+tbl_Hotel_Multi[[wr]:[wr]]),
(6.50001+Hotel_C_Reverse_Star_Band_Residual_Adjustment-LEFT(tbl_Hotel_Multi[[#Headers],[1.0* Max Water (kL/room)]],3))*tbl_Hotel_Multi[[w5,CDD=0]:[w5,CDD=0]]/2)</calculatedColumnFormula>
    </tableColumn>
    <tableColumn id="137" xr3:uid="{6A3C30F9-5A11-4D86-86A9-0287930A7B7F}" name="0.0* Max Water (kL/room)" dataDxfId="1372">
      <calculatedColumnFormula>IF(LEFT(tbl_Hotel_Multi[[#Headers],[0.0* Max Water (kL/room)]],3)*1&lt;=5,((LEFT(tbl_Hotel_Multi[[#Headers],[0.0* Max Water (kL/room)]],3)-Hotel_C_Reverse_Star_Band_Residual_Adjustment-Hotel_C_W_Median_Rating)*(tbl_Hotel_Multi[[w5,CDD=0]:[w5,CDD=0]]-tbl_Hotel_Multi[[wr]:[wr]])/Hotel_C_W_Median_Rating+tbl_Hotel_Multi[[wr]:[wr]]),
(6.50001+Hotel_C_Reverse_Star_Band_Residual_Adjustment-LEFT(tbl_Hotel_Multi[[#Headers],[0.0* Max Water (kL/room)]],3))*tbl_Hotel_Multi[[w5,CDD=0]:[w5,CDD=0]]/2)</calculatedColumnFormula>
    </tableColumn>
    <tableColumn id="193" xr3:uid="{7FE2922B-6B7A-45F3-8052-29875B4DE0E2}" name="6.0* Max Water (kL)" dataDxfId="1371">
      <calculatedColumnFormula>ROUNDDOWN(tbl_Hotel_Multi[[#This Row],[6.0* Max Water (kL/room)]]*tbl_Hotel_Multi[[Rooms]:[Rooms]],0)</calculatedColumnFormula>
    </tableColumn>
    <tableColumn id="194" xr3:uid="{1B572CCA-6A07-47BB-80D5-4961703D4EE6}" name="5.5* Max Water (kL)" dataDxfId="1370">
      <calculatedColumnFormula>ROUNDDOWN(tbl_Hotel_Multi[[#This Row],[5.5* Max Water (kL/room)]]*tbl_Hotel_Multi[[Rooms]:[Rooms]],0)</calculatedColumnFormula>
    </tableColumn>
    <tableColumn id="195" xr3:uid="{F1E2F8AF-5F9A-42CE-B33F-042072AF5835}" name="5.0* Max Water (kL)" dataDxfId="1369">
      <calculatedColumnFormula>ROUNDDOWN(tbl_Hotel_Multi[[#This Row],[5.0* Max Water (kL/room)]]*tbl_Hotel_Multi[[Rooms]:[Rooms]],0)</calculatedColumnFormula>
    </tableColumn>
    <tableColumn id="196" xr3:uid="{F0A6FA14-025A-46B1-A7DE-72D0A14F0E79}" name="4.5* Max Water (kL)" dataDxfId="1368">
      <calculatedColumnFormula>ROUNDDOWN(tbl_Hotel_Multi[[#This Row],[4.5* Max Water (kL/room)]]*tbl_Hotel_Multi[[Rooms]:[Rooms]],0)</calculatedColumnFormula>
    </tableColumn>
    <tableColumn id="197" xr3:uid="{52BEC290-6C3D-4200-9638-775CEF058988}" name="4.0* Max Water (kL)" dataDxfId="1367">
      <calculatedColumnFormula>ROUNDDOWN(tbl_Hotel_Multi[[#This Row],[4.0* Max Water (kL/room)]]*tbl_Hotel_Multi[[Rooms]:[Rooms]],0)</calculatedColumnFormula>
    </tableColumn>
    <tableColumn id="198" xr3:uid="{06A8DDED-0BCA-47A9-A2AD-5E0112F398EC}" name="3.5* Max Water (kL)" dataDxfId="1366">
      <calculatedColumnFormula>ROUNDDOWN(tbl_Hotel_Multi[[#This Row],[3.5* Max Water (kL/room)]]*tbl_Hotel_Multi[[Rooms]:[Rooms]],0)</calculatedColumnFormula>
    </tableColumn>
    <tableColumn id="199" xr3:uid="{C826178C-EA0B-412E-9EAF-4B335DB07779}" name="3.0* Max Water (kL)" dataDxfId="1365">
      <calculatedColumnFormula>ROUNDDOWN(tbl_Hotel_Multi[[#This Row],[3.0* Max Water (kL/room)]]*tbl_Hotel_Multi[[Rooms]:[Rooms]],0)</calculatedColumnFormula>
    </tableColumn>
    <tableColumn id="200" xr3:uid="{1AFB90DD-7A9B-4622-BFE8-0DC6898A720B}" name="2.5* Max Water (kL)" dataDxfId="1364">
      <calculatedColumnFormula>ROUNDDOWN(tbl_Hotel_Multi[[#This Row],[2.5* Max Water (kL/room)]]*tbl_Hotel_Multi[[Rooms]:[Rooms]],0)</calculatedColumnFormula>
    </tableColumn>
    <tableColumn id="201" xr3:uid="{C4FCEFDA-72A5-45D3-B0EA-A8640D0F948F}" name="2.0* Max Water (kL)" dataDxfId="1363">
      <calculatedColumnFormula>ROUNDDOWN(tbl_Hotel_Multi[[#This Row],[2.0* Max Water (kL/room)]]*tbl_Hotel_Multi[[Rooms]:[Rooms]],0)</calculatedColumnFormula>
    </tableColumn>
    <tableColumn id="202" xr3:uid="{2FF81861-8D25-4BAF-A78F-5878F07266A2}" name="1.5* Max Water (kL)" dataDxfId="1362">
      <calculatedColumnFormula>ROUNDDOWN(tbl_Hotel_Multi[[#This Row],[1.5* Max Water (kL/room)]]*tbl_Hotel_Multi[[Rooms]:[Rooms]],0)</calculatedColumnFormula>
    </tableColumn>
    <tableColumn id="203" xr3:uid="{84BA3227-36E8-4667-8F50-B48D94C6283F}" name="1.0* Max Water (kL)" dataDxfId="1361">
      <calculatedColumnFormula>ROUNDDOWN(tbl_Hotel_Multi[[#This Row],[1.0* Max Water (kL/room)]]*tbl_Hotel_Multi[[Rooms]:[Rooms]],0)</calculatedColumnFormula>
    </tableColumn>
    <tableColumn id="138" xr3:uid="{D8A6E360-EFED-4C0C-B764-8CD29EEA7A89}" name="0.0* Max Water (kL)" dataDxfId="1360">
      <calculatedColumnFormula>ROUNDDOWN(tbl_Hotel_Multi[[#This Row],[0.0* Max Water (kL/room)]]*tbl_Hotel_Multi[[Rooms]:[Rooms]],0)</calculatedColumnFormula>
    </tableColumn>
    <tableColumn id="134" xr3:uid="{5D3F743D-0151-4FE6-855D-9249351F378A}" name="FWD Scope 1,2&amp;3" dataDxfId="1359">
      <calculatedColumnFormula>SUM(tbl_Hotel_Multi[[#This Row],[Electricity]]*(1-tbl_Hotel_Multi[[#This Row],[GP]])*tbl_Hotel_Multi[[#This Row],[SGEe Scopes 1,2&amp;3]],
tbl_Hotel_Multi[[#This Row],[Gas]]*tbl_Hotel_Multi[[#This Row],[SGEg Scopes 1,2&amp;3]],
tbl_Hotel_Multi[[#This Row],[Diesel]]*tbl_Hotel_Multi[[#This Row],[SGEd Scopes 1,2&amp;3]])</calculatedColumnFormula>
    </tableColumn>
    <tableColumn id="135" xr3:uid="{A601DB0C-5976-4A8B-BB3F-E9255E51A9CC}" name="FWD Scope 1&amp;2" dataDxfId="1358">
      <calculatedColumnFormula>SUM(tbl_Hotel_Multi[[#This Row],[Electricity]]*(1-tbl_Hotel_Multi[[#This Row],[GP]])*tbl_Hotel_Multi[[#This Row],[SGEe Scopes 1&amp;2]],
tbl_Hotel_Multi[[#This Row],[Gas]]*tbl_Hotel_Multi[[#This Row],[SGEg Scopes 1&amp;2]],
tbl_Hotel_Multi[[#This Row],[Diesel]]*tbl_Hotel_Multi[[#This Row],[SGEd Scopes 1&amp;2]])</calculatedColumnFormula>
    </tableColumn>
    <tableColumn id="220" xr3:uid="{BA1A25AD-1689-4381-BC93-AF0A97A83345}" name="Energy Star (with GP)" dataDxfId="1357">
      <calculatedColumnFormula>IF(tbl_Hotel_Multi[[#This Row],[Energy Star Decimal (with GP)]]&lt;1,1,MIN(ROUNDDOWN(tbl_Hotel_Multi[[#This Row],[Energy Star Decimal (with GP)]]*2,0)/2,6))</calculatedColumnFormula>
    </tableColumn>
    <tableColumn id="50" xr3:uid="{154AE10A-A453-4A49-AA95-4AB3C3EF8920}" name="Energy Star Decimal (with GP)" dataDxfId="1356">
      <calculatedColumnFormula>tbl_Hotel_Multi[[#This Row],[R (with GP)]]+Hotel_C_FWD_Star_Band_Residual_Adjustment</calculatedColumnFormula>
    </tableColumn>
    <tableColumn id="48" xr3:uid="{8DEA3E3F-7A27-4400-8F85-9054C8C51939}" name="Energy Star (no GP)" dataDxfId="1355">
      <calculatedColumnFormula>IF(tbl_Hotel_Multi[[#This Row],[Energy Star Decimal (no GP)]]&lt;1,1,MIN(ROUNDDOWN(tbl_Hotel_Multi[[#This Row],[Energy Star Decimal (no GP)]]*2,0)/2,6))</calculatedColumnFormula>
    </tableColumn>
    <tableColumn id="24" xr3:uid="{B60ECDB5-8EF9-4532-8372-1252B085E21A}" name="Energy Star Decimal (no GP)" dataDxfId="1354">
      <calculatedColumnFormula>tbl_Hotel_Multi[[#This Row],[R (no GP)]]+Hotel_C_FWD_Star_Band_Residual_Adjustment</calculatedColumnFormula>
    </tableColumn>
    <tableColumn id="221" xr3:uid="{ABEA0F82-9330-4C9C-914A-5C96D7E5B884}" name="R (with GP)" dataDxfId="1353">
      <calculatedColumnFormula>IF(Hotel_C_E_Median_Rating+Hotel_C_E_Rating_Coefficient*tbl_Hotel_Multi[[#This Row],[p (with GP)]]&gt;5,Hotel_C_E_Median_R_above_5_stars+Hotel_C_E_Rating_Coefficient_above_5_stars*tbl_Hotel_Multi[[#This Row],[p (with GP)]],Hotel_C_E_Median_Rating+Hotel_C_E_Rating_Coefficient*tbl_Hotel_Multi[[#This Row],[p (with GP)]])</calculatedColumnFormula>
    </tableColumn>
    <tableColumn id="49" xr3:uid="{B69AEC2B-B4DA-49BD-B4CE-90B5822E13B0}" name="R (no GP)" dataDxfId="1352">
      <calculatedColumnFormula>IF(Hotel_C_E_Median_Rating+Hotel_C_E_Rating_Coefficient*tbl_Hotel_Multi[[#This Row],[p (no GP)]]&gt;5,Hotel_C_E_Median_R_above_5_stars+Hotel_C_E_Rating_Coefficient_above_5_stars*tbl_Hotel_Multi[[#This Row],[p (no GP)]],Hotel_C_E_Median_Rating+Hotel_C_E_Rating_Coefficient*tbl_Hotel_Multi[[#This Row],[p (no GP)]])</calculatedColumnFormula>
    </tableColumn>
    <tableColumn id="45" xr3:uid="{AD3782F6-F5CD-4938-B4F6-A04599DDF878}" name="e (with GP)" dataDxfId="1351">
      <calculatedColumnFormula>SUM(tbl_Hotel_Multi[[#This Row],[Electricity]]*(1-tbl_Hotel_Multi[[#This Row],[GP]])*tbl_Hotel_Multi[[#This Row],[SGEe]],
tbl_Hotel_Multi[[#This Row],[Gas]]*tbl_Hotel_Multi[[#This Row],[SGEg]],
tbl_Hotel_Multi[[#This Row],[Diesel]]*tbl_Hotel_Multi[[#This Row],[SGEd]])
/tbl_Hotel_Multi[[#This Row],[Rooms]]</calculatedColumnFormula>
    </tableColumn>
    <tableColumn id="175" xr3:uid="{F7461FA6-6AF9-4742-A4B2-C11496B36015}" name="e (no GP)" dataDxfId="1350">
      <calculatedColumnFormula>SUM(tbl_Hotel_Multi[[#This Row],[Electricity]]*tbl_Hotel_Multi[[#This Row],[SGEe]],
tbl_Hotel_Multi[[#This Row],[Gas]]*tbl_Hotel_Multi[[#This Row],[SGEg]],
tbl_Hotel_Multi[[#This Row],[Diesel]]*tbl_Hotel_Multi[[#This Row],[SGEd]])
/tbl_Hotel_Multi[[#This Row],[Rooms]]</calculatedColumnFormula>
    </tableColumn>
    <tableColumn id="44" xr3:uid="{CCE0E16E-2D3A-45AF-B4F6-AD9697D3A24D}" name="p (with GP)" dataDxfId="1349">
      <calculatedColumnFormula>(tbl_Hotel_Multi[[#This Row],[e (with GP)]]-tbl_Hotel_Multi[[#This Row],[er (from A unrounded)]])/tbl_Hotel_Multi[[#This Row],[er (from A unrounded)]]</calculatedColumnFormula>
    </tableColumn>
    <tableColumn id="176" xr3:uid="{24526380-319A-4470-9B8F-E9D770656E6D}" name="p (no GP)" dataDxfId="1348">
      <calculatedColumnFormula>(tbl_Hotel_Multi[[#This Row],[e (no GP)]]-tbl_Hotel_Multi[[#This Row],[er (from A unrounded)]])/tbl_Hotel_Multi[[#This Row],[er (from A unrounded)]]</calculatedColumnFormula>
    </tableColumn>
    <tableColumn id="189" xr3:uid="{B90B1F53-D489-4E72-995B-8A89FD171FC2}" name="Water Star (with recyc)" dataDxfId="1347">
      <calculatedColumnFormula>IF(tbl_Hotel_Multi[[#This Row],[Water Star Decimal (with recyc)]]&lt;1,1,MIN(ROUNDDOWN(tbl_Hotel_Multi[[#This Row],[Water Star Decimal (with recyc)]]*2,0)/2,6))</calculatedColumnFormula>
    </tableColumn>
    <tableColumn id="58" xr3:uid="{143D0D17-C941-4E7E-A561-C391908B566A}" name="Water Star Decimal (with recyc)" dataDxfId="1346">
      <calculatedColumnFormula>tbl_Hotel_Multi[[#This Row],[R (with recyc)]]+Hotel_C_FWD_Star_Band_Residual_Adjustment</calculatedColumnFormula>
    </tableColumn>
    <tableColumn id="59" xr3:uid="{EE42AAED-9F3C-4BDE-AF7D-8929AFFFB88D}" name="Water Star (no recyc)" dataDxfId="1345">
      <calculatedColumnFormula>IF(tbl_Hotel_Multi[[#This Row],[Water Star Decimal (no recyc)]]&lt;1,1,MIN(ROUNDDOWN(tbl_Hotel_Multi[[#This Row],[Water Star Decimal (no recyc)]]*2,0)/2,6))</calculatedColumnFormula>
    </tableColumn>
    <tableColumn id="60" xr3:uid="{B584BA88-24DF-45B6-9E70-ED65760797FD}" name="Water Star Decimal (no recyc)" dataDxfId="1344">
      <calculatedColumnFormula>tbl_Hotel_Multi[[#This Row],[R (no recyc)]]+Hotel_C_FWD_Star_Band_Residual_Adjustment</calculatedColumnFormula>
    </tableColumn>
    <tableColumn id="51" xr3:uid="{D5ED15B0-9CE2-4A82-98FE-52063F743A20}" name="w (with recyc)" dataDxfId="1343">
      <calculatedColumnFormula>tbl_Hotel_Multi[[#This Row],[water]]*(1-tbl_Hotel_Multi[[#This Row],[RW]])/tbl_Hotel_Multi[[#This Row],[Rooms]]</calculatedColumnFormula>
    </tableColumn>
    <tableColumn id="53" xr3:uid="{30BD07F5-AAB0-4D01-B657-9F7D45CCD069}" name="w (no recyc)" dataDxfId="1342">
      <calculatedColumnFormula>tbl_Hotel_Multi[[#This Row],[water]]/tbl_Hotel_Multi[[#This Row],[Rooms]]</calculatedColumnFormula>
    </tableColumn>
    <tableColumn id="187" xr3:uid="{63F8F268-B52E-4AAB-BE70-6175725D0641}" name="R (with recyc)" dataDxfId="1341">
      <calculatedColumnFormula>IF(Hotel_C_W_Median_Rating*((tbl_Hotel_Multi[[#This Row],[w (with recyc)]]-tbl_Hotel_Multi[[#This Row],[wr]])/(tbl_Hotel_Multi[[#This Row],[w5,CDD=0]]-tbl_Hotel_Multi[[#This Row],[wr]]))+Hotel_C_W_Median_Rating&lt;=5,Hotel_C_W_Median_Rating*((tbl_Hotel_Multi[[#This Row],[w (with recyc)]]-tbl_Hotel_Multi[[#This Row],[wr]])/(tbl_Hotel_Multi[[#This Row],[w5,CDD=0]]-tbl_Hotel_Multi[[#This Row],[wr]]))+Hotel_C_W_Median_Rating,
6.50001-2/tbl_Hotel_Multi[[#This Row],[w5,CDD=0]]*tbl_Hotel_Multi[[#This Row],[w (with recyc)]])</calculatedColumnFormula>
    </tableColumn>
    <tableColumn id="23" xr3:uid="{AF756D8E-9A84-40A3-82F6-368D0BD77179}" name="R (no recyc)" dataDxfId="1340">
      <calculatedColumnFormula>IF(Hotel_C_W_Median_Rating*((tbl_Hotel_Multi[[#This Row],[w (no recyc)]]-tbl_Hotel_Multi[[#This Row],[wr]])/(tbl_Hotel_Multi[[#This Row],[w5,CDD=0]]-tbl_Hotel_Multi[[#This Row],[wr]]))+Hotel_C_W_Median_Rating&lt;=5,Hotel_C_W_Median_Rating*((tbl_Hotel_Multi[[#This Row],[w (no recyc)]]-tbl_Hotel_Multi[[#This Row],[wr]])/(tbl_Hotel_Multi[[#This Row],[w5,CDD=0]]-tbl_Hotel_Multi[[#This Row],[wr]]))+Hotel_C_W_Median_Rating,
6.50001-2/tbl_Hotel_Multi[[#This Row],[w5,CDD=0]]*tbl_Hotel_Multi[[#This Row],[w (no recyc)]])</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B165D90-D123-482F-8F84-20CD38A5D686}" name="tbl_School_Multi" displayName="tbl_School_Multi" ref="A3:HI6" totalsRowShown="0" headerRowDxfId="1316" dataDxfId="1315" headerRowBorderDxfId="1313" tableBorderDxfId="1314">
  <autoFilter ref="A3:HI6" xr:uid="{912DCB91-0EE1-4B70-BDB9-4E27D3EB38A8}"/>
  <tableColumns count="217">
    <tableColumn id="222" xr3:uid="{89A5A173-100C-4146-A494-A988E0C7C11E}" name="Target Energy" dataDxfId="1312"/>
    <tableColumn id="11" xr3:uid="{A06E02D8-F537-40ED-AB7F-62ADE8F518F5}" name="Target Water" dataDxfId="1311">
      <calculatedColumnFormula>School_Target_Water</calculatedColumnFormula>
    </tableColumn>
    <tableColumn id="235" xr3:uid="{908BF711-EBD2-48F3-A0AC-92CF2AE549CB}" name="Postcode" dataDxfId="1310"/>
    <tableColumn id="7" xr3:uid="{90ECAABD-5385-4F5D-A4DB-88C5FFA629EF}" name="School Sector" dataDxfId="1309"/>
    <tableColumn id="8" xr3:uid="{75B0FD10-8725-4FA3-9081-4000C4F6A548}" name="School Remote Area" dataDxfId="1308"/>
    <tableColumn id="1" xr3:uid="{A5D22566-531F-4E11-A966-4CB57EAE7608}" name="Total Site Area" dataDxfId="1307"/>
    <tableColumn id="2" xr3:uid="{07BCE85D-6CE5-4AB2-8F67-2AB3DF9FFB41}" name="Total GFA" dataDxfId="1306"/>
    <tableColumn id="3" xr3:uid="{4D0D7743-C059-4C1E-AE70-6F6E74040F8A}" name="FTE Staff" dataDxfId="1305"/>
    <tableColumn id="177" xr3:uid="{D14C1868-515B-43F3-827F-3B0629D24FEF}" name="FTE ELC" dataDxfId="1304"/>
    <tableColumn id="182" xr3:uid="{15BC146A-919B-476E-BAEE-E22018A4F8D9}" name="FTE Primary" dataDxfId="1303"/>
    <tableColumn id="183" xr3:uid="{576C2DB1-3244-44C8-8CE5-591EA3010DF2}" name="FTE Secondary" dataDxfId="1302"/>
    <tableColumn id="191" xr3:uid="{5BA74EFB-7EF1-443B-A615-46308035B5F2}" name="FTE Special Needs" dataDxfId="1301"/>
    <tableColumn id="4" xr3:uid="{F819AB09-8DCD-41BA-8148-CC1C9F115347}" name="Swimming Pool" dataDxfId="1300"/>
    <tableColumn id="9" xr3:uid="{2327A7D3-609E-401F-B39D-D53667E84713}" name="Pool Size" dataDxfId="1299">
      <calculatedColumnFormula>School_Pool_Size</calculatedColumnFormula>
    </tableColumn>
    <tableColumn id="141" xr3:uid="{4DB830F4-8491-41C9-AAA1-D646ECAF9722}" name="Electricity (%)" dataDxfId="1298"/>
    <tableColumn id="142" xr3:uid="{181C17B2-67E7-4047-9FA1-20F032151B75}" name="Gas (%)" dataDxfId="1297"/>
    <tableColumn id="205" xr3:uid="{3AC9B035-27BD-402B-A4F5-021354E2BC32}" name="LPG (%)" dataDxfId="1296"/>
    <tableColumn id="143" xr3:uid="{D87A7E93-AC25-4128-BFE2-2AA85542E5C1}" name="Diesel (%)" dataDxfId="1295"/>
    <tableColumn id="224" xr3:uid="{BEB3E4CA-2D0F-4BCF-9362-4D888AF723B1}" name="Actual/Predicted Ratio" dataDxfId="1294">
      <calculatedColumnFormula>tbl_School_Multi[[#This Row],[Predicted Emissions Ratio]]</calculatedColumnFormula>
    </tableColumn>
    <tableColumn id="174" xr3:uid="{A7D7CD4F-48AB-4570-A67D-2FE0AFDE762C}" name="Predicted GE" dataDxfId="1293">
      <calculatedColumnFormula>tbl_School_Multi[[#This Row],[Predicted Emissions]]</calculatedColumnFormula>
    </tableColumn>
    <tableColumn id="225" xr3:uid="{11704DAA-1B54-49CE-8EFC-ACEA7FF3049C}" name="Max Emissions at Target" dataDxfId="1292">
      <calculatedColumnFormula>tbl_School_Multi[[#This Row],[Target Max CO2]]</calculatedColumnFormula>
    </tableColumn>
    <tableColumn id="254" xr3:uid="{DCB2B936-6D87-4EEB-962B-0203644D9535}" name="Max Emissions Intensity at Target" dataDxfId="1291">
      <calculatedColumnFormula>tbl_School_Multi[[#This Row],[Target Max GE]]</calculatedColumnFormula>
    </tableColumn>
    <tableColumn id="255" xr3:uid="{8D28B4AB-FF0F-463D-B4FF-2B3E83F5E697}" name="Max Energy Intensity at Target" dataDxfId="1290">
      <calculatedColumnFormula>tbl_School_Multi[[#This Row],[Target Max Energy Intensity]]</calculatedColumnFormula>
    </tableColumn>
    <tableColumn id="226" xr3:uid="{918283A6-DF7A-44E4-BBE5-B74EDA117DC8}" name="Max Scope 1,2&amp;3 at Target" dataDxfId="1289">
      <calculatedColumnFormula>tbl_School_Multi[[#This Row],[Target Scopes 1,2&amp;3]]</calculatedColumnFormula>
    </tableColumn>
    <tableColumn id="227" xr3:uid="{091F2D3A-2B2A-43EF-B511-88A16680859D}" name="Max Scope 1&amp;2 at Targe" dataDxfId="1288">
      <calculatedColumnFormula>tbl_School_Multi[[#This Row],[Target Scopes 1&amp;2]]</calculatedColumnFormula>
    </tableColumn>
    <tableColumn id="228" xr3:uid="{64CB3E47-4BFB-4794-991E-1EF9A78E2837}" name="Max Elec (kWh) at Target" dataDxfId="1287">
      <calculatedColumnFormula>tbl_School_Multi[[#This Row],[Target Max Elec (kWh)]]</calculatedColumnFormula>
    </tableColumn>
    <tableColumn id="229" xr3:uid="{721AA986-AE14-463D-BC1F-4BB432E5FD89}" name="Max Gas (MJ) at Target" dataDxfId="1286">
      <calculatedColumnFormula>tbl_School_Multi[[#This Row],[Target Max Gas (MJ)]]</calculatedColumnFormula>
    </tableColumn>
    <tableColumn id="260" xr3:uid="{9D35A073-B49B-47E9-942C-3C63C1701E2C}" name="Max LPG (L) at Target" dataDxfId="1285">
      <calculatedColumnFormula>tbl_School_Multi[[#This Row],[Target Max LPG (L)]]</calculatedColumnFormula>
    </tableColumn>
    <tableColumn id="230" xr3:uid="{FE3CF7A0-86D3-40E8-A1E8-EF710D551F52}" name="Max Diesel (L) at Target" dataDxfId="1284">
      <calculatedColumnFormula>tbl_School_Multi[[#This Row],[Target Max Diesel (L)]]</calculatedColumnFormula>
    </tableColumn>
    <tableColumn id="15" xr3:uid="{24D9DF2F-4C49-4A87-9F34-0010F1941134}" name="Water Benchmark Factor" dataDxfId="1283">
      <calculatedColumnFormula>tbl_School_Multi[[#This Row],[Target Max Water Ratio]]</calculatedColumnFormula>
    </tableColumn>
    <tableColumn id="16" xr3:uid="{E682BD7F-F3B3-4530-926C-205C94FC0803}" name="Predicted Ave Water" dataDxfId="1282">
      <calculatedColumnFormula>tbl_School_Multi[[#This Row],[Predicted Water]]</calculatedColumnFormula>
    </tableColumn>
    <tableColumn id="17" xr3:uid="{2280C87F-D54B-422A-9057-058124963E64}" name="Max Water (kL) at Target" dataDxfId="1281">
      <calculatedColumnFormula>tbl_School_Multi[[#This Row],[Target Max Water (kL)]]</calculatedColumnFormula>
    </tableColumn>
    <tableColumn id="18" xr3:uid="{0B595F42-1A89-4F81-808E-8FD05AC18309}" name="Max Water Intensity at Target" dataDxfId="1280">
      <calculatedColumnFormula>tbl_School_Multi[[#This Row],[Target Max Water Intensity]]</calculatedColumnFormula>
    </tableColumn>
    <tableColumn id="12" xr3:uid="{02FC7A63-E123-47FB-9551-7C6322350E4B}" name="Electricity" dataDxfId="1279">
      <calculatedColumnFormula>School_Elec_FWD</calculatedColumnFormula>
    </tableColumn>
    <tableColumn id="23" xr3:uid="{FA6C59DD-5C5C-4FC0-BC89-19FBEE08B450}" name="GP" dataDxfId="1278">
      <calculatedColumnFormula>School_GreenPower_Percent_FWD</calculatedColumnFormula>
    </tableColumn>
    <tableColumn id="13" xr3:uid="{BA9C9E44-E705-4740-918C-AA80909C1B18}" name="Gas" dataDxfId="1277">
      <calculatedColumnFormula>School_Gas_FWD</calculatedColumnFormula>
    </tableColumn>
    <tableColumn id="273" xr3:uid="{8D07923E-3B8D-4084-B24D-16FB04DC4496}" name="LPG" dataDxfId="1276">
      <calculatedColumnFormula>School_LPG_FWD</calculatedColumnFormula>
    </tableColumn>
    <tableColumn id="14" xr3:uid="{FF1D935B-11DD-4104-AA16-7036BA7AB414}" name="Diesel" dataDxfId="1275">
      <calculatedColumnFormula>School_Diesel_FWD</calculatedColumnFormula>
    </tableColumn>
    <tableColumn id="31" xr3:uid="{84D0D714-EB59-47A2-ACE3-999B48B6B8C0}" name="Water" dataDxfId="1274">
      <calculatedColumnFormula>School_Water_FWD</calculatedColumnFormula>
    </tableColumn>
    <tableColumn id="32" xr3:uid="{0EDFFAB6-25D8-4890-9755-721F99170457}" name="RW" dataDxfId="1273">
      <calculatedColumnFormula>School_RW_Percent_FWD</calculatedColumnFormula>
    </tableColumn>
    <tableColumn id="19" xr3:uid="{8A79F6E0-D726-4164-9F2A-35B3A7B0A81E}" name="State" dataDxfId="1272">
      <calculatedColumnFormula>_xlfn.XLOOKUP(tbl_School_Multi[[#This Row],[Postcode]],tbl_Climate_Lookup[Postcode],tbl_Climate_Lookup[State])</calculatedColumnFormula>
    </tableColumn>
    <tableColumn id="20" xr3:uid="{6DBF74DD-654E-430C-9632-07DCE413A2D0}" name="Climate zone" dataDxfId="1271">
      <calculatedColumnFormula>_xlfn.XLOOKUP(tbl_School_Multi[[#This Row],[Postcode]],tbl_Climate_Lookup[Postcode],tbl_Climate_Lookup[Climate zone])</calculatedColumnFormula>
    </tableColumn>
    <tableColumn id="21" xr3:uid="{46D7F7FD-5528-4E68-89E7-C6F6F385F134}" name="HDD" dataDxfId="1270">
      <calculatedColumnFormula>_xlfn.XLOOKUP(tbl_School_Multi[[#This Row],[Postcode]],tbl_Climate_Lookup[Postcode],tbl_Climate_Lookup[HDD])</calculatedColumnFormula>
    </tableColumn>
    <tableColumn id="30" xr3:uid="{DB02DF2E-2D46-453E-BB58-D0C85C088FC8}" name="CDD" dataDxfId="1269">
      <calculatedColumnFormula>_xlfn.XLOOKUP(tbl_School_Multi[[#This Row],[Postcode]],tbl_Climate_Lookup[Postcode],tbl_Climate_Lookup[CDD])</calculatedColumnFormula>
    </tableColumn>
    <tableColumn id="22" xr3:uid="{74EFB2EA-3EB4-4954-A55B-95AB0359B78D}" name="IRR" dataDxfId="1268">
      <calculatedColumnFormula>_xlfn.XLOOKUP(tbl_School_Multi[[#This Row],[Postcode]],tbl_Climate_Lookup[Postcode],tbl_Climate_Lookup[IRR])</calculatedColumnFormula>
    </tableColumn>
    <tableColumn id="25" xr3:uid="{E108E876-68E0-434E-89C6-118F7735D499}" name="SGEe" dataDxfId="1267">
      <calculatedColumnFormula>_xlfn.XLOOKUP(tbl_School_Multi[[#This Row],[State]],tbl_SGE_School_2022[State],tbl_SGE_School_2022[Electricity
(kgCO2/kWh)])</calculatedColumnFormula>
    </tableColumn>
    <tableColumn id="26" xr3:uid="{AE931D9D-CFFB-4BA2-AB5B-7EC07820A7A5}" name="SGEg" dataDxfId="1266">
      <calculatedColumnFormula>_xlfn.XLOOKUP(tbl_School_Multi[[#This Row],[State]],tbl_SGE_School_2022[State],tbl_SGE_School_2022[Gas
(kgCO2/MJ)])</calculatedColumnFormula>
    </tableColumn>
    <tableColumn id="259" xr3:uid="{CEC3002F-75D5-43A6-BF81-D55D8E4DCAC2}" name="SGEl" dataDxfId="1265">
      <calculatedColumnFormula>_xlfn.XLOOKUP(tbl_School_Multi[[#This Row],[State]],tbl_SGE_School_2022[State],tbl_SGE_School_2022[LPG
(kgCO2/MJ)])</calculatedColumnFormula>
    </tableColumn>
    <tableColumn id="27" xr3:uid="{660D5959-3A21-42EC-B13C-0006C35FC51D}" name="SGEd" dataDxfId="1264">
      <calculatedColumnFormula>_xlfn.XLOOKUP(tbl_School_Multi[[#This Row],[State]],tbl_SGE_School_2022[State],tbl_SGE_School_2022[Diesel
(kgCO2/L)])</calculatedColumnFormula>
    </tableColumn>
    <tableColumn id="33" xr3:uid="{AE69DD02-A06A-4050-8BD6-32028E3F8D5E}" name="SGElLitre" dataDxfId="1263">
      <calculatedColumnFormula>_xlfn.XLOOKUP(tbl_School_Multi[[#This Row],[State]],tbl_SGE_School_2022[State],tbl_SGE_School_2022[LPG
(kgCO2/L)])</calculatedColumnFormula>
    </tableColumn>
    <tableColumn id="219" xr3:uid="{B8316BE2-3046-479C-8C77-FED8C457BF40}" name="SGEe wrt NSW" dataDxfId="1262">
      <calculatedColumnFormula>_xlfn.XLOOKUP(tbl_School_Multi[[#This Row],[State]],tbl_SGE_School_2022[State],tbl_SGE_School_2022[Electricity Factors])</calculatedColumnFormula>
    </tableColumn>
    <tableColumn id="237" xr3:uid="{438B0EA8-D1BD-426F-8C6D-ACA76306BFB7}" name="SGEg wrt NSW" dataDxfId="1261">
      <calculatedColumnFormula>_xlfn.XLOOKUP(tbl_School_Multi[[#This Row],[State]],tbl_SGE_School_2022[State],tbl_SGE_School_2022[[Gas Factors ]])</calculatedColumnFormula>
    </tableColumn>
    <tableColumn id="145" xr3:uid="{EB9B1B65-9609-4FBC-9320-3079B4EEAC99}" name="CFelec" dataDxfId="1260">
      <calculatedColumnFormula>INDEX(tbl_Conversion_Factors[[Conversion Factors]:[Conversion Factors]],MATCH(tbl_School_Multi[[#Headers],[CFelec]],tbl_Conversion_Factors[[Reference]:[Reference]],0))</calculatedColumnFormula>
    </tableColumn>
    <tableColumn id="242" xr3:uid="{4B2A9EB6-C8BF-476F-A715-8AF4C5CBF3C6}" name="CFlpg" dataDxfId="1259">
      <calculatedColumnFormula>INDEX(tbl_Conversion_Factors[[Conversion Factors]:[Conversion Factors]],MATCH(tbl_School_Multi[[#Headers],[CFlpg]],tbl_Conversion_Factors[[Reference]:[Reference]],0))</calculatedColumnFormula>
    </tableColumn>
    <tableColumn id="146" xr3:uid="{28457A62-8383-4B68-BB83-B40A39349147}" name="CFdiesel" dataDxfId="1258">
      <calculatedColumnFormula>INDEX(tbl_Conversion_Factors[[Conversion Factors]:[Conversion Factors]],MATCH(tbl_School_Multi[[#Headers],[CFdiesel]],tbl_Conversion_Factors[[Reference]:[Reference]],0))</calculatedColumnFormula>
    </tableColumn>
    <tableColumn id="151" xr3:uid="{54FC1ED2-2129-4518-A4D8-E98A8D183D28}" name="SGEeMJ" dataDxfId="1257">
      <calculatedColumnFormula>tbl_School_Multi[[#This Row],[SGEe]]/tbl_School_Multi[[#This Row],[CFelec]]</calculatedColumnFormula>
    </tableColumn>
    <tableColumn id="152" xr3:uid="{5E0DAB39-A52C-4441-9146-C16A86C82629}" name="SGEdMJ" dataDxfId="1256">
      <calculatedColumnFormula>tbl_School_Multi[[#This Row],[SGEd]]/tbl_School_Multi[[#This Row],[CFdiesel]]</calculatedColumnFormula>
    </tableColumn>
    <tableColumn id="154" xr3:uid="{72A6DA9D-BCF4-4472-9E68-B9AAB66B1AE7}" name="EffGHGMJ" dataDxfId="1255">
      <calculatedColumnFormula>IF(SUM(tbl_School_Multi[[#This Row],[Electricity (%)]:[Diesel (%)]])=1,
SUM(tbl_School_Multi[[#This Row],[Electricity (%)]]*tbl_School_Multi[[#This Row],[SGEeMJ]],
tbl_School_Multi[[#This Row],[Gas (%)]]*tbl_School_Multi[[#This Row],[SGEg]],
tbl_School_Multi[[#This Row],[LPG (%)]]*tbl_School_Multi[[#This Row],[SGEl]],
tbl_School_Multi[[#This Row],[Diesel (%)]]*tbl_School_Multi[[#This Row],[SGEdMJ]]),
0)</calculatedColumnFormula>
    </tableColumn>
    <tableColumn id="244" xr3:uid="{F3776322-35D6-49D9-8D75-E27B8DF8F33E}" name="SGEe Scopes 1,2&amp;3" dataDxfId="1254">
      <calculatedColumnFormula>INDEX(tbl_NGA_Factors_2022[#Data],MATCH(tbl_School_Multi[[State]:[State]],tbl_NGA_Factors_2022[[State]:[State]],0),MATCH(tbl_School_Multi[[#Headers],[SGEe Scopes 1,2&amp;3]],tbl_NGA_Factors_2022[#Headers],0))</calculatedColumnFormula>
    </tableColumn>
    <tableColumn id="245" xr3:uid="{0477C25E-2E37-470D-B3CC-2AB70C534B29}" name="SGEg Scopes 1,2&amp;3" dataDxfId="1253">
      <calculatedColumnFormula>INDEX(tbl_NGA_Factors_2022[#Data],MATCH(tbl_School_Multi[[State]:[State]],tbl_NGA_Factors_2022[[State]:[State]],0),MATCH(tbl_School_Multi[[#Headers],[SGEg Scopes 1,2&amp;3]],tbl_NGA_Factors_2022[#Headers],0))</calculatedColumnFormula>
    </tableColumn>
    <tableColumn id="258" xr3:uid="{B0841D61-D441-4B4F-9150-3F5A64006956}" name="SGEl Scopes 1,2&amp;3" dataDxfId="1252">
      <calculatedColumnFormula>INDEX(tbl_NGA_Factors_2022[#Data],MATCH(tbl_School_Multi[[State]:[State]],tbl_NGA_Factors_2022[[State]:[State]],0),MATCH(tbl_School_Multi[[#Headers],[SGEl Scopes 1,2&amp;3]],tbl_NGA_Factors_2022[#Headers],0))</calculatedColumnFormula>
    </tableColumn>
    <tableColumn id="246" xr3:uid="{9671295D-22FE-461C-A0A7-5718DC8FDB66}" name="SGEd Scopes 1,2&amp;3" dataDxfId="1251">
      <calculatedColumnFormula>INDEX(tbl_NGA_Factors_2022[#Data],MATCH(tbl_School_Multi[[State]:[State]],tbl_NGA_Factors_2022[[State]:[State]],0),MATCH(tbl_School_Multi[[#Headers],[SGEd Scopes 1,2&amp;3]],tbl_NGA_Factors_2022[#Headers],0))</calculatedColumnFormula>
    </tableColumn>
    <tableColumn id="248" xr3:uid="{E56D26E8-31D4-438D-A885-E45C8EC24F8B}" name="SGEe Scopes 1&amp;2" dataDxfId="1250">
      <calculatedColumnFormula>INDEX(tbl_NGA_Factors_2022[#Data],MATCH(tbl_School_Multi[[State]:[State]],tbl_NGA_Factors_2022[[State]:[State]],0),MATCH(tbl_School_Multi[[#Headers],[SGEe Scopes 1&amp;2]],tbl_NGA_Factors_2022[#Headers],0))</calculatedColumnFormula>
    </tableColumn>
    <tableColumn id="249" xr3:uid="{7F8972B7-E59F-423C-99DF-37F74F2E9160}" name="SGEg Scopes 1&amp;2" dataDxfId="1249">
      <calculatedColumnFormula>INDEX(tbl_NGA_Factors_2022[#Data],MATCH(tbl_School_Multi[[State]:[State]],tbl_NGA_Factors_2022[[State]:[State]],0),MATCH(tbl_School_Multi[[#Headers],[SGEg Scopes 1&amp;2]],tbl_NGA_Factors_2022[#Headers],0))</calculatedColumnFormula>
    </tableColumn>
    <tableColumn id="257" xr3:uid="{3459E55B-A532-46EA-9B9D-83389D7C8070}" name="SGEl Scopes 1&amp;2" dataDxfId="1248">
      <calculatedColumnFormula>INDEX(tbl_NGA_Factors_2022[#Data],MATCH(tbl_School_Multi[[State]:[State]],tbl_NGA_Factors_2022[[State]:[State]],0),MATCH(tbl_School_Multi[[#Headers],[SGEl Scopes 1&amp;2]],tbl_NGA_Factors_2022[#Headers],0))</calculatedColumnFormula>
    </tableColumn>
    <tableColumn id="250" xr3:uid="{7DD31348-4815-4E25-9FC1-2708D3B8DD32}" name="SGEd Scopes 1&amp;2" dataDxfId="1247">
      <calculatedColumnFormula>INDEX(tbl_NGA_Factors_2022[#Data],MATCH(tbl_School_Multi[[State]:[State]],tbl_NGA_Factors_2022[[State]:[State]],0),MATCH(tbl_School_Multi[[#Headers],[SGEd Scopes 1&amp;2]],tbl_NGA_Factors_2022[#Headers],0))</calculatedColumnFormula>
    </tableColumn>
    <tableColumn id="28" xr3:uid="{32BE1E12-DADD-4D63-8D22-33095487871A}" name="Total Students" dataDxfId="1246">
      <calculatedColumnFormula>SUM(tbl_School_Multi[[#This Row],[FTE ELC]:[FTE Special Needs]])</calculatedColumnFormula>
    </tableColumn>
    <tableColumn id="34" xr3:uid="{A575601F-CDD3-49D3-B647-B0ADAAECAACC}" name="Total Population" dataDxfId="1245">
      <calculatedColumnFormula>SUM(tbl_School_Multi[[#This Row],[FTE Staff]],tbl_School_Multi[[#This Row],[Total Students]])</calculatedColumnFormula>
    </tableColumn>
    <tableColumn id="240" xr3:uid="{B2AC7083-1E5B-4DAE-99E6-151DFFD3B00E}" name="Students/ GFA m²" dataDxfId="1244">
      <calculatedColumnFormula>tbl_School_Multi[[#This Row],[Total Students]]/tbl_School_Multi[[#This Row],[Total GFA]]</calculatedColumnFormula>
    </tableColumn>
    <tableColumn id="35" xr3:uid="{8CDFD4A0-F1B3-47C0-B5CA-06EEA551DA90}" name="ELC/Total Students" dataDxfId="1243" dataCellStyle="Percent">
      <calculatedColumnFormula>tbl_School_Multi[[#This Row],[FTE ELC]]/tbl_School_Multi[[#This Row],[Total Students]]</calculatedColumnFormula>
    </tableColumn>
    <tableColumn id="206" xr3:uid="{C643F266-BE60-4B50-BF84-55154EDFE6FA}" name="Primary/Total Students" dataDxfId="1242" dataCellStyle="Percent">
      <calculatedColumnFormula>tbl_School_Multi[[#This Row],[FTE Primary]]/tbl_School_Multi[[#This Row],[Total Students]]</calculatedColumnFormula>
    </tableColumn>
    <tableColumn id="214" xr3:uid="{3A0FDD07-98EC-4BBC-87B7-62B10B538D3C}" name="Secondary/Total Students" dataDxfId="1241" dataCellStyle="Percent">
      <calculatedColumnFormula>tbl_School_Multi[[#This Row],[FTE Secondary]]/tbl_School_Multi[[#This Row],[Total Students]]</calculatedColumnFormula>
    </tableColumn>
    <tableColumn id="58" xr3:uid="{7EC696F4-4083-42D8-8963-B43FCFC57840}" name="Special Needs/Total Students" dataDxfId="1240" dataCellStyle="Percent">
      <calculatedColumnFormula>tbl_School_Multi[[#This Row],[FTE Special Needs]]/tbl_School_Multi[[#This Row],[Total Students]]</calculatedColumnFormula>
    </tableColumn>
    <tableColumn id="236" xr3:uid="{64DBF585-AC39-4BA2-8302-091999AB4C09}" name="School Type" dataDxfId="1239">
      <calculatedColumnFormula>IF(tbl_School_Multi[[#This Row],[ELC/Total Students]]=100%,"ELC Only",IF(tbl_School_Multi[[#This Row],[Special Needs/Total Students]]=100%,"Special Education/Needs Only",IF(AND(tbl_School_Multi[[#This Row],[Primary/Total Students]]&gt;0,tbl_School_Multi[[#This Row],[Secondary/Total Students]]=0),"Primary",IF(AND(tbl_School_Multi[[#This Row],[Secondary/Total Students]]&gt;0,tbl_School_Multi[[#This Row],[Primary/Total Students]]=0),"Secondary","Mixed"))))</calculatedColumnFormula>
    </tableColumn>
    <tableColumn id="36" xr3:uid="{807F9FEA-1E82-4497-857C-8CBFCCE5F0F3}" name="C_Student Density" dataDxfId="1238">
      <calculatedColumnFormula>(37.905*tbl_School_Multi[[#This Row],[ELC/Total Students]]+43.433*tbl_School_Multi[[#This Row],[Primary/Total Students]]+73.552*tbl_School_Multi[[#This Row],[Secondary/Total Students]]+197.75*tbl_School_Multi[[#This Row],[Special Needs/Total Students]])*tbl_School_Multi[[#This Row],[Students/ GFA m²]]+24.85</calculatedColumnFormula>
    </tableColumn>
    <tableColumn id="10" xr3:uid="{F1BB74BC-5A78-4113-A5BC-8DC9DCBDED09}" name="C_Climate" dataDxfId="1237">
      <calculatedColumnFormula>IF(tbl_School_Multi[[#This Row],[CDD]]&lt;1200,5.4068*(10^-4)*tbl_School_Multi[[#This Row],[CDD]]+1.8075*(10^-4)*tbl_School_Multi[[#This Row],[HDD]]+0.52462, 2.8799*(10^-4)*tbl_School_Multi[[#This Row],[CDD]]+1.8075*(10^-4)*tbl_School_Multi[[#This Row],[HDD]]+0.8272)</calculatedColumnFormula>
    </tableColumn>
    <tableColumn id="211" xr3:uid="{D97FC5DE-9402-43F6-B619-155721D7661C}" name="C_Remote Area" dataDxfId="1236">
      <calculatedColumnFormula>IF(tbl_School_Multi[[#This Row],[School Remote Area]]="Very Remote",1.232,IF(tbl_School_Multi[[#This Row],[School Remote Area]]="Remote",1.06, IF(tbl_School_Multi[[#This Row],[School Remote Area]]="Inner Regional",0.957,IF(tbl_School_Multi[[#This Row],[School Remote Area]]="Outer Regional",1.063,1))))</calculatedColumnFormula>
    </tableColumn>
    <tableColumn id="212" xr3:uid="{EF8271A7-0BA1-4D54-AF4D-8FE2CAE042F0}" name="C_Pool" dataDxfId="1235">
      <calculatedColumnFormula>IF(tbl_School_Multi[[#This Row],[Swimming Pool]]="Yes",6,0)</calculatedColumnFormula>
    </tableColumn>
    <tableColumn id="210" xr3:uid="{FC9A312B-BAA6-4BB7-BFA9-CE8DB0150414}" name="C_School Sector" dataDxfId="1234">
      <calculatedColumnFormula>IF(tbl_School_Multi[[#This Row],[School Sector]]="Government School",0.909, IF(tbl_School_Multi[[#This Row],[School Sector]]="Independent School", (0.909*1.584), IF(tbl_School_Multi[[#This Row],[School Sector]]="Catholic Systemic School", 0.909)))</calculatedColumnFormula>
    </tableColumn>
    <tableColumn id="213" xr3:uid="{E6EF2089-BE45-42AF-BA65-75B57A3E15FE}" name="C_Emissions" dataDxfId="1233">
      <calculatedColumnFormula>_xlfn.XLOOKUP(tbl_School_Multi[[#This Row],[State]], tbl_School_Coefficients[State],tbl_School_Coefficients[all sectors])</calculatedColumnFormula>
    </tableColumn>
    <tableColumn id="45" xr3:uid="{F80AE5F7-35ED-4485-A6F7-149D606F41ED}" name="C_Re-centre" dataDxfId="1232">
      <calculatedColumnFormula>IF(OR(tbl_School_Multi[[#This Row],[School Sector]]="Government School",tbl_School_Multi[[#This Row],[School Sector]]="Catholic Systemic School"),_xlfn.XLOOKUP(tbl_School_Multi[[#This Row],[State]],tbl_School_Coefficients[State], tbl_School_Coefficients[Government Schools and Catholic Systemic Schools]), 1)</calculatedColumnFormula>
    </tableColumn>
    <tableColumn id="59" xr3:uid="{6AF2F0D4-EF3A-4E87-BEF8-22E3BCB8382F}" name="Predicted Emissions per GFA" dataDxfId="1231">
      <calculatedColumnFormula>(tbl_School_Multi[[#This Row],[C_Student Density]]*tbl_School_Multi[[#This Row],[C_Climate]]*tbl_School_Multi[[#This Row],[C_Remote Area]]+tbl_School_Multi[[#This Row],[C_Pool]])*tbl_School_Multi[[#This Row],[C_School Sector]]*tbl_School_Multi[[#This Row],[C_Emissions]]*tbl_School_Multi[[#This Row],[C_Re-centre]]</calculatedColumnFormula>
    </tableColumn>
    <tableColumn id="37" xr3:uid="{01E27112-F8E0-4D10-9ABE-B3FBBF7A41BD}" name="C_Total Population_Water" dataDxfId="1230">
      <calculatedColumnFormula>IF(tbl_School_Multi[[#This Row],[School Type]]="ELC Only", 9.293*tbl_School_Multi[[#This Row],[Total Population]], IF(tbl_School_Multi[[#This Row],[School Type]]="Special Education/Needs Only", 4.133*tbl_School_Multi[[#This Row],[Total Population]], 3.094*tbl_School_Multi[[#This Row],[Total Population]]))</calculatedColumnFormula>
    </tableColumn>
    <tableColumn id="38" xr3:uid="{A82DA49D-3D54-425E-8036-47D980931DC8}" name="C_Site Area/Irrigation_Water" dataDxfId="1229">
      <calculatedColumnFormula>2.532*(10^-5)*tbl_School_Multi[[#This Row],[Total Site Area]]*tbl_School_Multi[[#This Row],[IRR]]</calculatedColumnFormula>
    </tableColumn>
    <tableColumn id="39" xr3:uid="{9CF67351-DBD8-4853-A180-CF7FFDC0664C}" name="C_Remote Area_Water" dataDxfId="1228">
      <calculatedColumnFormula>IF(OR(tbl_School_Multi[[#This Row],[School Remote Area]]="Major Cities", tbl_School_Multi[[#This Row],[School Remote Area]]="Inner Regional"), 1, 1.828)</calculatedColumnFormula>
    </tableColumn>
    <tableColumn id="40" xr3:uid="{7FCA153A-9452-4CDF-AA86-CA71CB0689C4}" name="C_Swimming Pool_Water" dataDxfId="1227">
      <calculatedColumnFormula>10*tbl_School_Multi[[#This Row],[Pool Size]]</calculatedColumnFormula>
    </tableColumn>
    <tableColumn id="43" xr3:uid="{011D5DC5-E890-41BD-BAD9-A552774870A4}" name="C_School Sector_Water" dataDxfId="1226">
      <calculatedColumnFormula>IF(tbl_School_Multi[[#This Row],[School Sector]]="Government School",1, IF(tbl_School_Multi[[#This Row],[School Sector]]="Independent School", 2.112, IF(tbl_School_Multi[[#This Row],[School Sector]]="Catholic Systemic School", 1)))</calculatedColumnFormula>
    </tableColumn>
    <tableColumn id="239" xr3:uid="{5D4F5D1E-D73F-425C-A324-E3209F9B0B7B}" name="Predicted Emissions" dataDxfId="1225">
      <calculatedColumnFormula>tbl_School_Multi[[#This Row],[Predicted Emissions per GFA]]*tbl_School_Multi[[#This Row],[Total GFA]]</calculatedColumnFormula>
    </tableColumn>
    <tableColumn id="234" xr3:uid="{AE145285-234A-4011-BF7A-CDE11E212BA0}" name="Predicted Emissions Ratio" dataDxfId="1224">
      <calculatedColumnFormula>(7-tbl_School_Multi[[#This Row],[Target Energy]])/3.75</calculatedColumnFormula>
    </tableColumn>
    <tableColumn id="60" xr3:uid="{8BDE39D4-02FB-4E96-8B21-0E4CD1F2251B}" name="Target Max GE" dataDxfId="1223">
      <calculatedColumnFormula>tbl_School_Multi[[#This Row],[Predicted Emissions]]*tbl_School_Multi[[#This Row],[Predicted Emissions Ratio]]/tbl_School_Multi[[#This Row],[Total GFA]]</calculatedColumnFormula>
    </tableColumn>
    <tableColumn id="166" xr3:uid="{6F262FC2-C8B9-419A-B3FF-6DE09D0CF7B8}" name="Target Max CO2" dataDxfId="1222">
      <calculatedColumnFormula>tbl_School_Multi[[#This Row],[Predicted Emissions]]*tbl_School_Multi[[#This Row],[Predicted Emissions Ratio]]</calculatedColumnFormula>
    </tableColumn>
    <tableColumn id="167" xr3:uid="{84F0CED8-5BDD-4A10-8C26-0A7EAD7094BF}" name="Target Max Energy (MJ)" dataDxfId="1221">
      <calculatedColumnFormula>tbl_School_Multi[[#This Row],[Target Max CO2]]/tbl_School_Multi[[#This Row],[EffGHGMJ]]</calculatedColumnFormula>
    </tableColumn>
    <tableColumn id="256" xr3:uid="{FB92A0F9-0A76-431D-AC18-115CB9522C88}" name="Target Max Energy Intensity" dataDxfId="1220">
      <calculatedColumnFormula>tbl_School_Multi[[#This Row],[Target Max Energy (MJ)]]/tbl_School_Multi[[#This Row],[Total GFA]]</calculatedColumnFormula>
    </tableColumn>
    <tableColumn id="170" xr3:uid="{71D0F74F-6BAF-4CA3-BBED-BEC1B8A5D166}" name="Target Max Elec (kWh)" dataDxfId="1219">
      <calculatedColumnFormula>ROUNDDOWN(tbl_School_Multi[[#This Row],[Target Max Energy (MJ)]]*tbl_School_Multi[[#This Row],[Electricity (%)]]/tbl_School_Multi[[#This Row],[CFelec]],0)</calculatedColumnFormula>
    </tableColumn>
    <tableColumn id="178" xr3:uid="{45AFCA9B-0179-4CE5-B7A4-802F9D6D78A8}" name="Target Max Gas (MJ)" dataDxfId="1218">
      <calculatedColumnFormula>ROUNDDOWN(tbl_School_Multi[[#This Row],[Target Max Energy (MJ)]]*tbl_School_Multi[[#This Row],[Gas (%)]],0)</calculatedColumnFormula>
    </tableColumn>
    <tableColumn id="241" xr3:uid="{2543DF6B-9E00-47E4-BF42-D5B5BEA557F4}" name="Target Max LPG (L)" dataDxfId="1217">
      <calculatedColumnFormula>ROUNDDOWN(tbl_School_Multi[[#This Row],[Target Max Energy (MJ)]]*tbl_School_Multi[[#This Row],[LPG (%)]]/tbl_School_Multi[[#This Row],[CFlpg]],0)</calculatedColumnFormula>
    </tableColumn>
    <tableColumn id="181" xr3:uid="{B28F2B83-4244-4DC8-B0EF-B06B02629270}" name="Target Max Diesel (L)" dataDxfId="1216">
      <calculatedColumnFormula>ROUNDDOWN(tbl_School_Multi[[#This Row],[Target Max Energy (MJ)]]*tbl_School_Multi[[#This Row],[Diesel (%)]]/tbl_School_Multi[[#This Row],[CFdiesel]],0)</calculatedColumnFormula>
    </tableColumn>
    <tableColumn id="252" xr3:uid="{690EDA27-6BF8-4E8A-91BF-50344B023A7F}" name="Target Scopes 1,2&amp;3" dataDxfId="1215">
      <calculatedColumnFormula>SUM(tbl_School_Multi[[#This Row],[Target Max Elec (kWh)]]*tbl_School_Multi[[#This Row],[SGEe Scopes 1,2&amp;3]],
tbl_School_Multi[[#This Row],[Target Max Gas (MJ)]]*tbl_School_Multi[[#This Row],[SGEg Scopes 1,2&amp;3]],
tbl_School_Multi[[#This Row],[Target Max LPG (L)]]*tbl_School_Multi[[#This Row],[SGEl Scopes 1,2&amp;3]],
tbl_School_Multi[[#This Row],[Target Max Diesel (L)]]*tbl_School_Multi[[#This Row],[SGEd Scopes 1,2&amp;3]])</calculatedColumnFormula>
    </tableColumn>
    <tableColumn id="253" xr3:uid="{5719B4E9-1E72-4C08-821C-A057DEAA01A2}" name="Target Scopes 1&amp;2" dataDxfId="1214">
      <calculatedColumnFormula>SUM(tbl_School_Multi[[#This Row],[Target Max Elec (kWh)]]*tbl_School_Multi[[#This Row],[SGEe Scopes 1&amp;2]],
tbl_School_Multi[[#This Row],[Target Max Gas (MJ)]]*tbl_School_Multi[[#This Row],[SGEg Scopes 1&amp;2]],
tbl_School_Multi[[#This Row],[Target Max LPG (L)]]*tbl_School_Multi[[#This Row],[SGEl Scopes 1&amp;2]],
tbl_School_Multi[[#This Row],[Target Max Diesel (L)]]*tbl_School_Multi[[#This Row],[SGEd Scopes 1&amp;2]])</calculatedColumnFormula>
    </tableColumn>
    <tableColumn id="44" xr3:uid="{D1090D03-4F3E-466C-8239-D0F774D6BA82}" name="Predicted Water" dataDxfId="1213">
      <calculatedColumnFormula>((tbl_School_Multi[[#This Row],[C_Total Population_Water]]+tbl_School_Multi[[#This Row],[C_Site Area/Irrigation_Water]])*tbl_School_Multi[[#This Row],[C_Remote Area_Water]]*tbl_School_Multi[[#This Row],[C_School Sector_Water]])+tbl_School_Multi[[#This Row],[C_Swimming Pool_Water]]</calculatedColumnFormula>
    </tableColumn>
    <tableColumn id="46" xr3:uid="{CBC57413-F4DB-403F-BA0C-4F8634BA60E1}" name="Target Max Water Ratio" dataDxfId="1212">
      <calculatedColumnFormula>(7-tbl_School_Multi[[#This Row],[Target Water]])/3.75</calculatedColumnFormula>
    </tableColumn>
    <tableColumn id="47" xr3:uid="{19E1A1F9-60D2-435A-83EA-FA5163787067}" name="Target Max Water (kL)" dataDxfId="1211">
      <calculatedColumnFormula>tbl_School_Multi[[#This Row],[Predicted Water]]*tbl_School_Multi[[#This Row],[Target Max Water Ratio]]</calculatedColumnFormula>
    </tableColumn>
    <tableColumn id="49" xr3:uid="{0CDDFD9A-CBAF-47DC-BAF1-EC4DB29E8714}" name="Target Max Water Intensity" dataDxfId="1210">
      <calculatedColumnFormula>tbl_School_Multi[[#This Row],[Target Max Water (kL)]]/tbl_School_Multi[[#This Row],[Total Site Area]]</calculatedColumnFormula>
    </tableColumn>
    <tableColumn id="64" xr3:uid="{E9848A30-2249-48D9-BB0C-CB0D9369F464}" name="6.0* Max Benchmarking Factor" dataDxfId="1209">
      <calculatedColumnFormula>(7-LEFT(tbl_School_Multi[[#Headers],[6.0* Max Benchmarking Factor]],3))/3.75</calculatedColumnFormula>
    </tableColumn>
    <tableColumn id="65" xr3:uid="{88EEE920-4886-4C2F-8F42-1909DF462C13}" name="5.5* Max Benchmarking Factor" dataDxfId="1208">
      <calculatedColumnFormula>(7-LEFT(tbl_School_Multi[[#Headers],[5.5* Max Benchmarking Factor]],3))/3.75</calculatedColumnFormula>
    </tableColumn>
    <tableColumn id="66" xr3:uid="{52A585B5-B6EB-4CE2-8438-F1C4978D1111}" name="5.0* Max Benchmarking Factor" dataDxfId="1207">
      <calculatedColumnFormula>(7-LEFT(tbl_School_Multi[[#Headers],[5.0* Max Benchmarking Factor]],3))/3.75</calculatedColumnFormula>
    </tableColumn>
    <tableColumn id="67" xr3:uid="{ACED8DCC-349B-4D86-8845-498C4ECA6638}" name="4.5* Max Benchmarking Factor" dataDxfId="1206">
      <calculatedColumnFormula>(7-LEFT(tbl_School_Multi[[#Headers],[4.5* Max Benchmarking Factor]],3))/3.75</calculatedColumnFormula>
    </tableColumn>
    <tableColumn id="68" xr3:uid="{E0766240-8551-4980-9BF2-DF8A347BC205}" name="4.0* Max Benchmarking Factor" dataDxfId="1205">
      <calculatedColumnFormula>(7-LEFT(tbl_School_Multi[[#Headers],[4.0* Max Benchmarking Factor]],3))/3.75</calculatedColumnFormula>
    </tableColumn>
    <tableColumn id="69" xr3:uid="{0BB147DD-BE0C-4383-870F-50F8B45F6575}" name="3.5* Max Benchmarking Factor" dataDxfId="1204">
      <calculatedColumnFormula>(7-LEFT(tbl_School_Multi[[#Headers],[3.5* Max Benchmarking Factor]],3))/3.75</calculatedColumnFormula>
    </tableColumn>
    <tableColumn id="70" xr3:uid="{3B0545C3-FFF2-45D2-927A-83A3F4ABD878}" name="3.0* Max Benchmarking Factor" dataDxfId="1203">
      <calculatedColumnFormula>(7-LEFT(tbl_School_Multi[[#Headers],[3.0* Max Benchmarking Factor]],3))/3.75</calculatedColumnFormula>
    </tableColumn>
    <tableColumn id="71" xr3:uid="{69E4A251-311F-48DD-8065-16161DD49C90}" name="2.5* Max Benchmarking Factor" dataDxfId="1202">
      <calculatedColumnFormula>(7-LEFT(tbl_School_Multi[[#Headers],[2.5* Max Benchmarking Factor]],3))/3.75</calculatedColumnFormula>
    </tableColumn>
    <tableColumn id="72" xr3:uid="{8013DE78-8D0D-4A16-AC94-577541512147}" name="2.0* Max Benchmarking Factor" dataDxfId="1201">
      <calculatedColumnFormula>(7-LEFT(tbl_School_Multi[[#Headers],[2.0* Max Benchmarking Factor]],3))/3.75</calculatedColumnFormula>
    </tableColumn>
    <tableColumn id="73" xr3:uid="{5B460CCB-FD23-490B-962C-1C4488DFE57B}" name="1.5* Max Benchmarking Factor" dataDxfId="1200">
      <calculatedColumnFormula>(7-LEFT(tbl_School_Multi[[#Headers],[1.5* Max Benchmarking Factor]],3))/3.75</calculatedColumnFormula>
    </tableColumn>
    <tableColumn id="74" xr3:uid="{73CFC083-22FA-4B70-8390-A407646BA127}" name="1.0* Max Benchmarking Factor" dataDxfId="1199">
      <calculatedColumnFormula>(7-LEFT(tbl_School_Multi[[#Headers],[1.0* Max Benchmarking Factor]],3))/3.75</calculatedColumnFormula>
    </tableColumn>
    <tableColumn id="251" xr3:uid="{BAB4FBCA-6D85-4928-8827-CB65EBE81DF5}" name="0.0* Max Benchmarking Factor" dataDxfId="1198">
      <calculatedColumnFormula>(7-LEFT(tbl_School_Multi[[#Headers],[0.0* Max Benchmarking Factor]],3))/3.75</calculatedColumnFormula>
    </tableColumn>
    <tableColumn id="86" xr3:uid="{C8C625B9-542A-4D42-96EC-0A128DF2F801}" name="6.0* Max CO2" dataDxfId="1197">
      <calculatedColumnFormula>tbl_School_Multi[[Predicted Emissions]:[Predicted Emissions]]*tbl_School_Multi[[#This Row],[6.0* Max Benchmarking Factor]]</calculatedColumnFormula>
    </tableColumn>
    <tableColumn id="87" xr3:uid="{A83D5DB9-B982-4E6E-869E-AA5B17D32A7B}" name="5.5* Max CO2" dataDxfId="1196">
      <calculatedColumnFormula>tbl_School_Multi[[Predicted Emissions]:[Predicted Emissions]]*tbl_School_Multi[[#This Row],[5.5* Max Benchmarking Factor]]</calculatedColumnFormula>
    </tableColumn>
    <tableColumn id="88" xr3:uid="{91E5D43E-725B-42C3-8ABE-F8633014547E}" name="5.0* Max CO2" dataDxfId="1195">
      <calculatedColumnFormula>tbl_School_Multi[[Predicted Emissions]:[Predicted Emissions]]*tbl_School_Multi[[#This Row],[5.0* Max Benchmarking Factor]]</calculatedColumnFormula>
    </tableColumn>
    <tableColumn id="89" xr3:uid="{4FCB1DDD-ECDB-4FA5-A120-D60F6AD4AB17}" name="4.5* Max CO2" dataDxfId="1194">
      <calculatedColumnFormula>tbl_School_Multi[[Predicted Emissions]:[Predicted Emissions]]*tbl_School_Multi[[#This Row],[4.5* Max Benchmarking Factor]]</calculatedColumnFormula>
    </tableColumn>
    <tableColumn id="90" xr3:uid="{DA560E45-00D8-4240-9BE6-2D0CC14739C4}" name="4.0* Max CO2" dataDxfId="1193">
      <calculatedColumnFormula>tbl_School_Multi[[Predicted Emissions]:[Predicted Emissions]]*tbl_School_Multi[[#This Row],[4.0* Max Benchmarking Factor]]</calculatedColumnFormula>
    </tableColumn>
    <tableColumn id="91" xr3:uid="{6418F94A-F80D-41B5-BFA4-07CA1D4F1A8E}" name="3.5* Max CO2" dataDxfId="1192">
      <calculatedColumnFormula>tbl_School_Multi[[Predicted Emissions]:[Predicted Emissions]]*tbl_School_Multi[[#This Row],[3.5* Max Benchmarking Factor]]</calculatedColumnFormula>
    </tableColumn>
    <tableColumn id="92" xr3:uid="{212F518E-0D73-41F2-95AE-341C696E0EE0}" name="3.0* Max CO2" dataDxfId="1191">
      <calculatedColumnFormula>tbl_School_Multi[[Predicted Emissions]:[Predicted Emissions]]*tbl_School_Multi[[#This Row],[3.0* Max Benchmarking Factor]]</calculatedColumnFormula>
    </tableColumn>
    <tableColumn id="93" xr3:uid="{92799253-0060-481B-819E-EDDD821E1CC3}" name="2.5* Max CO2" dataDxfId="1190">
      <calculatedColumnFormula>tbl_School_Multi[[Predicted Emissions]:[Predicted Emissions]]*tbl_School_Multi[[#This Row],[2.5* Max Benchmarking Factor]]</calculatedColumnFormula>
    </tableColumn>
    <tableColumn id="94" xr3:uid="{E03F5089-9253-451D-BB9A-219DFD860901}" name="2.0* Max CO2" dataDxfId="1189">
      <calculatedColumnFormula>tbl_School_Multi[[Predicted Emissions]:[Predicted Emissions]]*tbl_School_Multi[[#This Row],[2.0* Max Benchmarking Factor]]</calculatedColumnFormula>
    </tableColumn>
    <tableColumn id="95" xr3:uid="{C1105119-F7BB-4F5B-BC72-BEBE7BC37B7B}" name="1.5* Max CO2" dataDxfId="1188">
      <calculatedColumnFormula>tbl_School_Multi[[Predicted Emissions]:[Predicted Emissions]]*tbl_School_Multi[[#This Row],[1.5* Max Benchmarking Factor]]</calculatedColumnFormula>
    </tableColumn>
    <tableColumn id="96" xr3:uid="{6FB1B531-DE93-45DC-9619-B6893A09442A}" name="1.0* Max CO2" dataDxfId="1187">
      <calculatedColumnFormula>tbl_School_Multi[[Predicted Emissions]:[Predicted Emissions]]*tbl_School_Multi[[#This Row],[1.0* Max Benchmarking Factor]]</calculatedColumnFormula>
    </tableColumn>
    <tableColumn id="243" xr3:uid="{6F333155-CD35-4596-AD28-5BCEF9644D0A}" name="0.0* Max CO2" dataDxfId="1186">
      <calculatedColumnFormula>tbl_School_Multi[[Predicted Emissions]:[Predicted Emissions]]*tbl_School_Multi[[#This Row],[0.0* Max Benchmarking Factor]]</calculatedColumnFormula>
    </tableColumn>
    <tableColumn id="155" xr3:uid="{66FE9C4E-83EB-4690-BA17-07DB314FD2C4}" name="6.0* Max Energy (MJ)" dataDxfId="1185">
      <calculatedColumnFormula>tbl_School_Multi[[#This Row],[6.0* Max CO2]]/tbl_School_Multi[[EffGHGMJ]:[EffGHGMJ]]</calculatedColumnFormula>
    </tableColumn>
    <tableColumn id="156" xr3:uid="{DFAED4D0-8144-443E-8EC1-87ECB8A64E94}" name="5.5* Max Energy (MJ)" dataDxfId="1184">
      <calculatedColumnFormula>tbl_School_Multi[[#This Row],[5.5* Max CO2]]/tbl_School_Multi[[EffGHGMJ]:[EffGHGMJ]]</calculatedColumnFormula>
    </tableColumn>
    <tableColumn id="157" xr3:uid="{C5E490C5-5924-4064-B552-CDB60CA0F989}" name="5.0* Max Energy (MJ)" dataDxfId="1183">
      <calculatedColumnFormula>tbl_School_Multi[[#This Row],[5.0* Max CO2]]/tbl_School_Multi[[EffGHGMJ]:[EffGHGMJ]]</calculatedColumnFormula>
    </tableColumn>
    <tableColumn id="158" xr3:uid="{950351AD-FC1A-41BF-8CE9-89ED2598896B}" name="4.5* Max Energy (MJ)" dataDxfId="1182">
      <calculatedColumnFormula>tbl_School_Multi[[#This Row],[4.5* Max CO2]]/tbl_School_Multi[[EffGHGMJ]:[EffGHGMJ]]</calculatedColumnFormula>
    </tableColumn>
    <tableColumn id="159" xr3:uid="{339AD903-4C22-4E03-B86A-D06361387FD7}" name="4.0* Max Energy (MJ)" dataDxfId="1181">
      <calculatedColumnFormula>tbl_School_Multi[[#This Row],[4.0* Max CO2]]/tbl_School_Multi[[EffGHGMJ]:[EffGHGMJ]]</calculatedColumnFormula>
    </tableColumn>
    <tableColumn id="160" xr3:uid="{B93205FC-D152-4E63-97FF-FA68EDA03F26}" name="3.5* Max Energy (MJ)" dataDxfId="1180">
      <calculatedColumnFormula>tbl_School_Multi[[#This Row],[3.5* Max CO2]]/tbl_School_Multi[[EffGHGMJ]:[EffGHGMJ]]</calculatedColumnFormula>
    </tableColumn>
    <tableColumn id="161" xr3:uid="{3AA84430-CCCE-486A-95BD-0C499A8B0DD4}" name="3.0* Max Energy (MJ)" dataDxfId="1179">
      <calculatedColumnFormula>tbl_School_Multi[[#This Row],[3.0* Max CO2]]/tbl_School_Multi[[EffGHGMJ]:[EffGHGMJ]]</calculatedColumnFormula>
    </tableColumn>
    <tableColumn id="162" xr3:uid="{04B2F3C6-C27E-4497-A603-84B5CA155D28}" name="2.5* Max Energy (MJ)" dataDxfId="1178">
      <calculatedColumnFormula>tbl_School_Multi[[#This Row],[2.5* Max CO2]]/tbl_School_Multi[[EffGHGMJ]:[EffGHGMJ]]</calculatedColumnFormula>
    </tableColumn>
    <tableColumn id="163" xr3:uid="{0C545A57-1990-47D0-AA14-3F0F3D425774}" name="2.0* Max Energy (MJ)" dataDxfId="1177">
      <calculatedColumnFormula>tbl_School_Multi[[#This Row],[2.0* Max CO2]]/tbl_School_Multi[[EffGHGMJ]:[EffGHGMJ]]</calculatedColumnFormula>
    </tableColumn>
    <tableColumn id="164" xr3:uid="{50C1C743-FD20-4A47-8D79-55483DE0B0AD}" name="1.5* Max Energy (MJ)" dataDxfId="1176">
      <calculatedColumnFormula>tbl_School_Multi[[#This Row],[1.5* Max CO2]]/tbl_School_Multi[[EffGHGMJ]:[EffGHGMJ]]</calculatedColumnFormula>
    </tableColumn>
    <tableColumn id="165" xr3:uid="{355C4428-F98E-4D6A-AF85-02820704095F}" name="1.0* Max Energy (MJ)" dataDxfId="1175">
      <calculatedColumnFormula>tbl_School_Multi[[#This Row],[1.0* Max CO2]]/tbl_School_Multi[[EffGHGMJ]:[EffGHGMJ]]</calculatedColumnFormula>
    </tableColumn>
    <tableColumn id="231" xr3:uid="{29472071-73CF-4753-ACC3-0317ED3EA3ED}" name="0.0* Max Energy (MJ)" dataDxfId="1174">
      <calculatedColumnFormula>tbl_School_Multi[[#This Row],[0.0* Max CO2]]/tbl_School_Multi[[EffGHGMJ]:[EffGHGMJ]]</calculatedColumnFormula>
    </tableColumn>
    <tableColumn id="97" xr3:uid="{E5B76CBB-FECD-43BE-9A3F-86BA4FD45A37}" name="6.0* Max Elec (kWh)" dataDxfId="1173">
      <calculatedColumnFormula>ROUNDDOWN(tbl_School_Multi[[#This Row],[6.0* Max Energy (MJ)]]*tbl_School_Multi[[Electricity (%)]:[Electricity (%)]]/tbl_School_Multi[[CFelec]:[CFelec]],0)</calculatedColumnFormula>
    </tableColumn>
    <tableColumn id="98" xr3:uid="{58E78C3E-C1B4-407B-8BBD-9C5E1902F955}" name="5.5* Max Elec (kWh)" dataDxfId="1172">
      <calculatedColumnFormula>ROUNDDOWN(tbl_School_Multi[[#This Row],[5.5* Max Energy (MJ)]]*tbl_School_Multi[[Electricity (%)]:[Electricity (%)]]/tbl_School_Multi[[CFelec]:[CFelec]],0)</calculatedColumnFormula>
    </tableColumn>
    <tableColumn id="99" xr3:uid="{73E5DF60-4F96-4A4D-9098-88A0B184A0EB}" name="5.0* Max Elec (kWh)" dataDxfId="1171">
      <calculatedColumnFormula>ROUNDDOWN(tbl_School_Multi[[#This Row],[5.0* Max Energy (MJ)]]*tbl_School_Multi[[Electricity (%)]:[Electricity (%)]]/tbl_School_Multi[[CFelec]:[CFelec]],0)</calculatedColumnFormula>
    </tableColumn>
    <tableColumn id="100" xr3:uid="{96B38750-FAD3-40A2-9043-8B058F183CFD}" name="4.5* Max Elec (kWh)" dataDxfId="1170">
      <calculatedColumnFormula>ROUNDDOWN(tbl_School_Multi[[#This Row],[4.5* Max Energy (MJ)]]*tbl_School_Multi[[Electricity (%)]:[Electricity (%)]]/tbl_School_Multi[[CFelec]:[CFelec]],0)</calculatedColumnFormula>
    </tableColumn>
    <tableColumn id="101" xr3:uid="{D246A181-1A95-463B-A502-6DB9A89F680F}" name="4.0* Max Elec (kWh)" dataDxfId="1169">
      <calculatedColumnFormula>ROUNDDOWN(tbl_School_Multi[[#This Row],[4.0* Max Energy (MJ)]]*tbl_School_Multi[[Electricity (%)]:[Electricity (%)]]/tbl_School_Multi[[CFelec]:[CFelec]],0)</calculatedColumnFormula>
    </tableColumn>
    <tableColumn id="102" xr3:uid="{3A85B429-6369-4B88-93D5-DE5CBDBC6C59}" name="3.5* Max Elec (kWh)" dataDxfId="1168">
      <calculatedColumnFormula>ROUNDDOWN(tbl_School_Multi[[#This Row],[3.5* Max Energy (MJ)]]*tbl_School_Multi[[Electricity (%)]:[Electricity (%)]]/tbl_School_Multi[[CFelec]:[CFelec]],0)</calculatedColumnFormula>
    </tableColumn>
    <tableColumn id="103" xr3:uid="{1FF0B078-061F-4726-A43C-197EFC9D5EA2}" name="3.0* Max Elec (kWh)" dataDxfId="1167">
      <calculatedColumnFormula>ROUNDDOWN(tbl_School_Multi[[#This Row],[3.0* Max Energy (MJ)]]*tbl_School_Multi[[Electricity (%)]:[Electricity (%)]]/tbl_School_Multi[[CFelec]:[CFelec]],0)</calculatedColumnFormula>
    </tableColumn>
    <tableColumn id="104" xr3:uid="{08FF21AE-197E-43AC-BB42-9D13D0A9AF79}" name="2.5* Max Elec (kWh)" dataDxfId="1166">
      <calculatedColumnFormula>ROUNDDOWN(tbl_School_Multi[[#This Row],[2.5* Max Energy (MJ)]]*tbl_School_Multi[[Electricity (%)]:[Electricity (%)]]/tbl_School_Multi[[CFelec]:[CFelec]],0)</calculatedColumnFormula>
    </tableColumn>
    <tableColumn id="105" xr3:uid="{B3686CD7-DAF7-401F-B192-7E40AEE6C79C}" name="2.0* Max Elec (kWh)" dataDxfId="1165">
      <calculatedColumnFormula>ROUNDDOWN(tbl_School_Multi[[#This Row],[2.0* Max Energy (MJ)]]*tbl_School_Multi[[Electricity (%)]:[Electricity (%)]]/tbl_School_Multi[[CFelec]:[CFelec]],0)</calculatedColumnFormula>
    </tableColumn>
    <tableColumn id="106" xr3:uid="{280113BA-CF1A-4030-A890-A742B3547CB0}" name="1.5* Max Elec (kWh)" dataDxfId="1164">
      <calculatedColumnFormula>ROUNDDOWN(tbl_School_Multi[[#This Row],[1.5* Max Energy (MJ)]]*tbl_School_Multi[[Electricity (%)]:[Electricity (%)]]/tbl_School_Multi[[CFelec]:[CFelec]],0)</calculatedColumnFormula>
    </tableColumn>
    <tableColumn id="107" xr3:uid="{D26E382F-9C5D-4F0C-B4BE-53566BED7001}" name="1.0* Max Elec (kWh)" dataDxfId="1163">
      <calculatedColumnFormula>ROUNDDOWN(tbl_School_Multi[[#This Row],[1.0* Max Energy (MJ)]]*tbl_School_Multi[[Electricity (%)]:[Electricity (%)]]/tbl_School_Multi[[CFelec]:[CFelec]],0)</calculatedColumnFormula>
    </tableColumn>
    <tableColumn id="217" xr3:uid="{717AE2B2-C8B5-4D27-927E-29057986A5F2}" name="0.0* Max Elec (kWh)" dataDxfId="1162">
      <calculatedColumnFormula>ROUNDDOWN(tbl_School_Multi[[#This Row],[0.0* Max Energy (MJ)]]*tbl_School_Multi[[Electricity (%)]:[Electricity (%)]]/tbl_School_Multi[[CFelec]:[CFelec]],0)</calculatedColumnFormula>
    </tableColumn>
    <tableColumn id="108" xr3:uid="{69FB0160-8E97-4FC8-AC64-3856BADE44F2}" name="6.0* Max Gas (MJ)" dataDxfId="1161">
      <calculatedColumnFormula>ROUNDDOWN(tbl_School_Multi[[#This Row],[6.0* Max Energy (MJ)]]*tbl_School_Multi[[Gas (%)]:[Gas (%)]],0)</calculatedColumnFormula>
    </tableColumn>
    <tableColumn id="109" xr3:uid="{43D4119A-6F65-4F47-9945-4002BBD3F4F4}" name="5.5* Max Gas (MJ)" dataDxfId="1160">
      <calculatedColumnFormula>ROUNDDOWN(tbl_School_Multi[[#This Row],[5.5* Max Energy (MJ)]]*tbl_School_Multi[[Gas (%)]:[Gas (%)]],0)</calculatedColumnFormula>
    </tableColumn>
    <tableColumn id="110" xr3:uid="{25D828FF-B151-4A9C-9315-3BBB46BEED84}" name="5.0* Max Gas (MJ)" dataDxfId="1159">
      <calculatedColumnFormula>ROUNDDOWN(tbl_School_Multi[[#This Row],[5.0* Max Energy (MJ)]]*tbl_School_Multi[[Gas (%)]:[Gas (%)]],0)</calculatedColumnFormula>
    </tableColumn>
    <tableColumn id="111" xr3:uid="{D4573A7F-B1A3-403B-9048-3A06F736854D}" name="4.5* Max Gas (MJ)" dataDxfId="1158">
      <calculatedColumnFormula>ROUNDDOWN(tbl_School_Multi[[#This Row],[4.5* Max Energy (MJ)]]*tbl_School_Multi[[Gas (%)]:[Gas (%)]],0)</calculatedColumnFormula>
    </tableColumn>
    <tableColumn id="112" xr3:uid="{CE23FAD1-D68C-4434-985D-154F196B38FE}" name="4.0* Max Gas (MJ)" dataDxfId="1157">
      <calculatedColumnFormula>ROUNDDOWN(tbl_School_Multi[[#This Row],[4.0* Max Energy (MJ)]]*tbl_School_Multi[[Gas (%)]:[Gas (%)]],0)</calculatedColumnFormula>
    </tableColumn>
    <tableColumn id="113" xr3:uid="{4C39B382-FD01-4B5E-A1CD-35541512702A}" name="3.5* Max Gas (MJ)" dataDxfId="1156">
      <calculatedColumnFormula>ROUNDDOWN(tbl_School_Multi[[#This Row],[3.5* Max Energy (MJ)]]*tbl_School_Multi[[Gas (%)]:[Gas (%)]],0)</calculatedColumnFormula>
    </tableColumn>
    <tableColumn id="114" xr3:uid="{0B2564A8-B39A-47BA-A61D-16C549DF4A24}" name="3.0* Max Gas (MJ)" dataDxfId="1155">
      <calculatedColumnFormula>ROUNDDOWN(tbl_School_Multi[[#This Row],[3.0* Max Energy (MJ)]]*tbl_School_Multi[[Gas (%)]:[Gas (%)]],0)</calculatedColumnFormula>
    </tableColumn>
    <tableColumn id="115" xr3:uid="{E808EA84-E610-493A-9F99-F1504111480D}" name="2.5* Max Gas (MJ)" dataDxfId="1154">
      <calculatedColumnFormula>ROUNDDOWN(tbl_School_Multi[[#This Row],[2.5* Max Energy (MJ)]]*tbl_School_Multi[[Gas (%)]:[Gas (%)]],0)</calculatedColumnFormula>
    </tableColumn>
    <tableColumn id="116" xr3:uid="{1986B082-BB7B-4CD4-8CEF-8379814BF779}" name="2.0* Max Gas (MJ)" dataDxfId="1153">
      <calculatedColumnFormula>ROUNDDOWN(tbl_School_Multi[[#This Row],[2.0* Max Energy (MJ)]]*tbl_School_Multi[[Gas (%)]:[Gas (%)]],0)</calculatedColumnFormula>
    </tableColumn>
    <tableColumn id="117" xr3:uid="{FE8122F9-26AE-468A-9C00-FC69299F52BC}" name="1.5* Max Gas (MJ)" dataDxfId="1152">
      <calculatedColumnFormula>ROUNDDOWN(tbl_School_Multi[[#This Row],[1.5* Max Energy (MJ)]]*tbl_School_Multi[[Gas (%)]:[Gas (%)]],0)</calculatedColumnFormula>
    </tableColumn>
    <tableColumn id="118" xr3:uid="{45232D29-97BA-49BE-9FD2-ACA57F3954BD}" name="1.0* Max Gas (MJ)" dataDxfId="1151">
      <calculatedColumnFormula>ROUNDDOWN(tbl_School_Multi[[#This Row],[1.0* Max Energy (MJ)]]*tbl_School_Multi[[Gas (%)]:[Gas (%)]],0)</calculatedColumnFormula>
    </tableColumn>
    <tableColumn id="216" xr3:uid="{5CD96F46-E073-4128-B590-DF5190B24A5E}" name="0.0* Max Gas (MJ)" dataDxfId="1150">
      <calculatedColumnFormula>ROUNDDOWN(tbl_School_Multi[[#This Row],[0.0* Max Energy (MJ)]]*tbl_School_Multi[[Gas (%)]:[Gas (%)]],0)</calculatedColumnFormula>
    </tableColumn>
    <tableColumn id="261" xr3:uid="{69A771E8-B1A9-4BFC-84DE-F496B83A53AE}" name="6.0* Max LPG (L)" dataDxfId="1149">
      <calculatedColumnFormula>ROUNDDOWN(tbl_School_Multi[[#This Row],[6.0* Max Energy (MJ)]]*tbl_School_Multi[[LPG (%)]:[LPG (%)]]/tbl_School_Multi[[CFlpg]:[CFlpg]],0)</calculatedColumnFormula>
    </tableColumn>
    <tableColumn id="262" xr3:uid="{1B1602B2-6E5C-48A1-AEDC-DB1EC56CC35B}" name="5.5* Max LPG (L)" dataDxfId="1148">
      <calculatedColumnFormula>ROUNDDOWN(tbl_School_Multi[[#This Row],[5.5* Max Energy (MJ)]]*tbl_School_Multi[[LPG (%)]:[LPG (%)]]/tbl_School_Multi[[CFlpg]:[CFlpg]],0)</calculatedColumnFormula>
    </tableColumn>
    <tableColumn id="263" xr3:uid="{E8084B58-46E3-423E-B885-942A95154133}" name="5.0* Max LPG (L)" dataDxfId="1147">
      <calculatedColumnFormula>ROUNDDOWN(tbl_School_Multi[[#This Row],[5.0* Max Energy (MJ)]]*tbl_School_Multi[[LPG (%)]:[LPG (%)]]/tbl_School_Multi[[CFlpg]:[CFlpg]],0)</calculatedColumnFormula>
    </tableColumn>
    <tableColumn id="264" xr3:uid="{329C50A5-CB89-47D1-A9A3-4F1061E63547}" name="4.5* Max LPG (L)" dataDxfId="1146">
      <calculatedColumnFormula>ROUNDDOWN(tbl_School_Multi[[#This Row],[4.5* Max Energy (MJ)]]*tbl_School_Multi[[LPG (%)]:[LPG (%)]]/tbl_School_Multi[[CFlpg]:[CFlpg]],0)</calculatedColumnFormula>
    </tableColumn>
    <tableColumn id="265" xr3:uid="{1FDFFC1F-A2F9-44DF-B84F-B27FE49C6730}" name="4.0* Max LPG (L)" dataDxfId="1145">
      <calculatedColumnFormula>ROUNDDOWN(tbl_School_Multi[[#This Row],[4.0* Max Energy (MJ)]]*tbl_School_Multi[[LPG (%)]:[LPG (%)]]/tbl_School_Multi[[CFlpg]:[CFlpg]],0)</calculatedColumnFormula>
    </tableColumn>
    <tableColumn id="266" xr3:uid="{6A361838-8561-4B46-8CDA-50D3A6C98E87}" name="3.5* Max LPG (L)" dataDxfId="1144">
      <calculatedColumnFormula>ROUNDDOWN(tbl_School_Multi[[#This Row],[3.5* Max Energy (MJ)]]*tbl_School_Multi[[LPG (%)]:[LPG (%)]]/tbl_School_Multi[[CFlpg]:[CFlpg]],0)</calculatedColumnFormula>
    </tableColumn>
    <tableColumn id="267" xr3:uid="{E12B11D9-CF1F-4FEC-B744-7224A0CC5387}" name="3.0* Max LPG (L)" dataDxfId="1143">
      <calculatedColumnFormula>ROUNDDOWN(tbl_School_Multi[[#This Row],[3.0* Max Energy (MJ)]]*tbl_School_Multi[[LPG (%)]:[LPG (%)]]/tbl_School_Multi[[CFlpg]:[CFlpg]],0)</calculatedColumnFormula>
    </tableColumn>
    <tableColumn id="268" xr3:uid="{B8C3E7C6-E9AC-4EF8-A580-140C94434E7A}" name="2.5* Max LPG (L)" dataDxfId="1142">
      <calculatedColumnFormula>ROUNDDOWN(tbl_School_Multi[[#This Row],[2.5* Max Energy (MJ)]]*tbl_School_Multi[[LPG (%)]:[LPG (%)]]/tbl_School_Multi[[CFlpg]:[CFlpg]],0)</calculatedColumnFormula>
    </tableColumn>
    <tableColumn id="269" xr3:uid="{1ADC11F4-4185-4B1F-825D-03CCBA848D6F}" name="2.0* Max LPG (L)" dataDxfId="1141">
      <calculatedColumnFormula>ROUNDDOWN(tbl_School_Multi[[#This Row],[2.0* Max Energy (MJ)]]*tbl_School_Multi[[LPG (%)]:[LPG (%)]]/tbl_School_Multi[[CFlpg]:[CFlpg]],0)</calculatedColumnFormula>
    </tableColumn>
    <tableColumn id="270" xr3:uid="{77C47ED3-B7B7-46B6-BEC9-CFB2A0A8CF45}" name="1.5* Max LPG (L)" dataDxfId="1140">
      <calculatedColumnFormula>ROUNDDOWN(tbl_School_Multi[[#This Row],[1.5* Max Energy (MJ)]]*tbl_School_Multi[[LPG (%)]:[LPG (%)]]/tbl_School_Multi[[CFlpg]:[CFlpg]],0)</calculatedColumnFormula>
    </tableColumn>
    <tableColumn id="271" xr3:uid="{0B0BA964-88E4-4242-BA09-B330996FD4AC}" name="1.0* Max LPG (L)" dataDxfId="1139">
      <calculatedColumnFormula>ROUNDDOWN(tbl_School_Multi[[#This Row],[1.0* Max Energy (MJ)]]*tbl_School_Multi[[LPG (%)]:[LPG (%)]]/tbl_School_Multi[[CFlpg]:[CFlpg]],0)</calculatedColumnFormula>
    </tableColumn>
    <tableColumn id="272" xr3:uid="{65FDDCCA-B963-4E9D-9CC9-F3AD4E95F66E}" name="0.0* Max LPG (L)" dataDxfId="1138">
      <calculatedColumnFormula>ROUNDDOWN(tbl_School_Multi[[#This Row],[0.0* Max Energy (MJ)]]*tbl_School_Multi[[LPG (%)]:[LPG (%)]]/tbl_School_Multi[[CFlpg]:[CFlpg]],0)</calculatedColumnFormula>
    </tableColumn>
    <tableColumn id="119" xr3:uid="{820B5BDE-981A-4DAA-AF78-AA6A996DDBA0}" name="6.0* Max Diesel (L)" dataDxfId="1137">
      <calculatedColumnFormula>ROUNDDOWN(tbl_School_Multi[[#This Row],[6.0* Max Energy (MJ)]]*tbl_School_Multi[[Diesel (%)]:[Diesel (%)]]/tbl_School_Multi[[CFdiesel]:[CFdiesel]],0)</calculatedColumnFormula>
    </tableColumn>
    <tableColumn id="120" xr3:uid="{3EB08129-B35D-4263-8DAE-E363E56E0886}" name="5.5* Max Diesel (L)" dataDxfId="1136">
      <calculatedColumnFormula>ROUNDDOWN(tbl_School_Multi[[#This Row],[5.5* Max Energy (MJ)]]*tbl_School_Multi[[Diesel (%)]:[Diesel (%)]]/tbl_School_Multi[[CFdiesel]:[CFdiesel]],0)</calculatedColumnFormula>
    </tableColumn>
    <tableColumn id="121" xr3:uid="{ACCF7BB4-6E09-4535-9E40-24219494369E}" name="5.0* Max Diesel (L)" dataDxfId="1135">
      <calculatedColumnFormula>ROUNDDOWN(tbl_School_Multi[[#This Row],[5.0* Max Energy (MJ)]]*tbl_School_Multi[[Diesel (%)]:[Diesel (%)]]/tbl_School_Multi[[CFdiesel]:[CFdiesel]],0)</calculatedColumnFormula>
    </tableColumn>
    <tableColumn id="122" xr3:uid="{379DA420-E800-4004-BBC9-7CD1258211EC}" name="4.5* Max Diesel (L)" dataDxfId="1134">
      <calculatedColumnFormula>ROUNDDOWN(tbl_School_Multi[[#This Row],[4.5* Max Energy (MJ)]]*tbl_School_Multi[[Diesel (%)]:[Diesel (%)]]/tbl_School_Multi[[CFdiesel]:[CFdiesel]],0)</calculatedColumnFormula>
    </tableColumn>
    <tableColumn id="123" xr3:uid="{70D7459D-0F3F-439E-B236-E9FD5F1B3F23}" name="4.0* Max Diesel (L)" dataDxfId="1133">
      <calculatedColumnFormula>ROUNDDOWN(tbl_School_Multi[[#This Row],[4.0* Max Energy (MJ)]]*tbl_School_Multi[[Diesel (%)]:[Diesel (%)]]/tbl_School_Multi[[CFdiesel]:[CFdiesel]],0)</calculatedColumnFormula>
    </tableColumn>
    <tableColumn id="124" xr3:uid="{E435065D-B7A7-413B-8887-8A99603160B8}" name="3.5* Max Diesel (L)" dataDxfId="1132">
      <calculatedColumnFormula>ROUNDDOWN(tbl_School_Multi[[#This Row],[3.5* Max Energy (MJ)]]*tbl_School_Multi[[Diesel (%)]:[Diesel (%)]]/tbl_School_Multi[[CFdiesel]:[CFdiesel]],0)</calculatedColumnFormula>
    </tableColumn>
    <tableColumn id="125" xr3:uid="{2689F4D5-2A26-42AA-BC66-E754C0C26B41}" name="3.0* Max Diesel (L)" dataDxfId="1131">
      <calculatedColumnFormula>ROUNDDOWN(tbl_School_Multi[[#This Row],[3.0* Max Energy (MJ)]]*tbl_School_Multi[[Diesel (%)]:[Diesel (%)]]/tbl_School_Multi[[CFdiesel]:[CFdiesel]],0)</calculatedColumnFormula>
    </tableColumn>
    <tableColumn id="126" xr3:uid="{58592407-6E9F-4EDF-BB65-A30EBA674E52}" name="2.5* Max Diesel (L)" dataDxfId="1130">
      <calculatedColumnFormula>ROUNDDOWN(tbl_School_Multi[[#This Row],[2.5* Max Energy (MJ)]]*tbl_School_Multi[[Diesel (%)]:[Diesel (%)]]/tbl_School_Multi[[CFdiesel]:[CFdiesel]],0)</calculatedColumnFormula>
    </tableColumn>
    <tableColumn id="127" xr3:uid="{32FE43C4-5AA6-42F8-B364-B0B70DAB6026}" name="2.0* Max Diesel (L)" dataDxfId="1129">
      <calculatedColumnFormula>ROUNDDOWN(tbl_School_Multi[[#This Row],[2.0* Max Energy (MJ)]]*tbl_School_Multi[[Diesel (%)]:[Diesel (%)]]/tbl_School_Multi[[CFdiesel]:[CFdiesel]],0)</calculatedColumnFormula>
    </tableColumn>
    <tableColumn id="128" xr3:uid="{9367F207-15CF-45A9-A7EB-A4239BD69075}" name="1.5* Max Diesel (L)" dataDxfId="1128">
      <calculatedColumnFormula>ROUNDDOWN(tbl_School_Multi[[#This Row],[1.5* Max Energy (MJ)]]*tbl_School_Multi[[Diesel (%)]:[Diesel (%)]]/tbl_School_Multi[[CFdiesel]:[CFdiesel]],0)</calculatedColumnFormula>
    </tableColumn>
    <tableColumn id="129" xr3:uid="{AECBFF88-7BEE-483D-B8AD-D05A50F4DB5D}" name="1.0* Max Diesel (L)" dataDxfId="1127">
      <calculatedColumnFormula>ROUNDDOWN(tbl_School_Multi[[#This Row],[1.0* Max Energy (MJ)]]*tbl_School_Multi[[Diesel (%)]:[Diesel (%)]]/tbl_School_Multi[[CFdiesel]:[CFdiesel]],0)</calculatedColumnFormula>
    </tableColumn>
    <tableColumn id="215" xr3:uid="{8CB9D040-8590-46E7-92B6-B73D40E088BA}" name="0.0* Max Diesel (L)" dataDxfId="1126">
      <calculatedColumnFormula>ROUNDDOWN(tbl_School_Multi[[#This Row],[0.0* Max Energy (MJ)]]*tbl_School_Multi[[Diesel (%)]:[Diesel (%)]]/tbl_School_Multi[[CFdiesel]:[CFdiesel]],0)</calculatedColumnFormula>
    </tableColumn>
    <tableColumn id="50" xr3:uid="{1655D827-A565-4901-B8FB-63C7E2B42EFF}" name="6.0* Max Water (kL)" dataDxfId="1125">
      <calculatedColumnFormula>tbl_School_Multi[[Predicted Water]:[Predicted Water]]*tbl_School_Multi[[#This Row],[6.0* Max Benchmarking Factor]]</calculatedColumnFormula>
    </tableColumn>
    <tableColumn id="51" xr3:uid="{89DC7293-A743-4530-B7B7-5B71CD81F162}" name="5.5* Max Water (kL)" dataDxfId="1124">
      <calculatedColumnFormula>tbl_School_Multi[[Predicted Water]:[Predicted Water]]*tbl_School_Multi[[#This Row],[5.5* Max Benchmarking Factor]]</calculatedColumnFormula>
    </tableColumn>
    <tableColumn id="52" xr3:uid="{AE88139A-4830-481F-B796-BE235E3FB5F3}" name="5.0* Max Water (kL)" dataDxfId="1123">
      <calculatedColumnFormula>tbl_School_Multi[[Predicted Water]:[Predicted Water]]*tbl_School_Multi[[#This Row],[5.0* Max Benchmarking Factor]]</calculatedColumnFormula>
    </tableColumn>
    <tableColumn id="53" xr3:uid="{268F797C-D523-4D82-934C-9FD2B0EB8DC7}" name="4.5* Max Water (kL)" dataDxfId="1122">
      <calculatedColumnFormula>tbl_School_Multi[[Predicted Water]:[Predicted Water]]*tbl_School_Multi[[#This Row],[4.5* Max Benchmarking Factor]]</calculatedColumnFormula>
    </tableColumn>
    <tableColumn id="54" xr3:uid="{32A3AB50-3019-49D7-8F91-32D21D2CAB28}" name="4.0* Max Water (kL)" dataDxfId="1121">
      <calculatedColumnFormula>tbl_School_Multi[[Predicted Water]:[Predicted Water]]*tbl_School_Multi[[#This Row],[4.0* Max Benchmarking Factor]]</calculatedColumnFormula>
    </tableColumn>
    <tableColumn id="55" xr3:uid="{E6B0754C-551D-4379-B418-C0C48BB4C02A}" name="3.5* Max Water (kL)" dataDxfId="1120">
      <calculatedColumnFormula>tbl_School_Multi[[Predicted Water]:[Predicted Water]]*tbl_School_Multi[[#This Row],[3.5* Max Benchmarking Factor]]</calculatedColumnFormula>
    </tableColumn>
    <tableColumn id="56" xr3:uid="{15DC59C5-2B5B-4A96-AED9-F99DE1E4E21C}" name="3.0* Max Water (kL)" dataDxfId="1119">
      <calculatedColumnFormula>tbl_School_Multi[[Predicted Water]:[Predicted Water]]*tbl_School_Multi[[#This Row],[3.0* Max Benchmarking Factor]]</calculatedColumnFormula>
    </tableColumn>
    <tableColumn id="57" xr3:uid="{90120793-727B-42E3-AF40-F4CEC1D1FC83}" name="2.5* Max Water (kL)" dataDxfId="1118">
      <calculatedColumnFormula>tbl_School_Multi[[Predicted Water]:[Predicted Water]]*tbl_School_Multi[[#This Row],[2.5* Max Benchmarking Factor]]</calculatedColumnFormula>
    </tableColumn>
    <tableColumn id="62" xr3:uid="{E255C36E-8048-4133-9EE8-14E4645397A4}" name="2.0* Max Water (kL)" dataDxfId="1117">
      <calculatedColumnFormula>tbl_School_Multi[[Predicted Water]:[Predicted Water]]*tbl_School_Multi[[#This Row],[2.0* Max Benchmarking Factor]]</calculatedColumnFormula>
    </tableColumn>
    <tableColumn id="63" xr3:uid="{7D0A1AFB-490A-4C37-9405-4CD86FB49D3E}" name="1.5* Max Water (kL)" dataDxfId="1116">
      <calculatedColumnFormula>tbl_School_Multi[[Predicted Water]:[Predicted Water]]*tbl_School_Multi[[#This Row],[1.5* Max Benchmarking Factor]]</calculatedColumnFormula>
    </tableColumn>
    <tableColumn id="75" xr3:uid="{F6FCFBD7-34C6-492E-B654-86255B60F0AB}" name="1.0* Max Water (kL)" dataDxfId="1115">
      <calculatedColumnFormula>tbl_School_Multi[[Predicted Water]:[Predicted Water]]*tbl_School_Multi[[#This Row],[1.0* Max Benchmarking Factor]]</calculatedColumnFormula>
    </tableColumn>
    <tableColumn id="61" xr3:uid="{7B5E57D6-6CD9-4C8C-ADEF-EA16F7D24B07}" name="0.0* Max Water (kL)" dataDxfId="1114">
      <calculatedColumnFormula>tbl_School_Multi[[Predicted Water]:[Predicted Water]]*tbl_School_Multi[[#This Row],[0.0* Max Benchmarking Factor]]</calculatedColumnFormula>
    </tableColumn>
    <tableColumn id="171" xr3:uid="{91AB4DDA-BA17-43F3-BEBB-9223320F2E60}" name="FWD Scope 1,2&amp;3" dataDxfId="1113">
      <calculatedColumnFormula>SUM(tbl_School_Multi[[#This Row],[Electricity]]*(1-tbl_School_Multi[[#This Row],[GP]])*tbl_School_Multi[[#This Row],[SGEe Scopes 1,2&amp;3]],
tbl_School_Multi[[#This Row],[Gas]]*tbl_School_Multi[[#This Row],[SGEg Scopes 1,2&amp;3]],
tbl_School_Multi[[#This Row],[LPG]]*tbl_School_Multi[[#This Row],[SGEl Scopes 1,2&amp;3]],
tbl_School_Multi[[#This Row],[Diesel]]*tbl_School_Multi[[#This Row],[SGEd Scopes 1,2&amp;3]])</calculatedColumnFormula>
    </tableColumn>
    <tableColumn id="173" xr3:uid="{11479D63-5F52-45C1-A4A5-9427A6DF902A}" name="FWD Scope 1&amp;2" dataDxfId="1112">
      <calculatedColumnFormula>SUM(tbl_School_Multi[[#This Row],[Electricity]]*(1-tbl_School_Multi[[#This Row],[GP]])*tbl_School_Multi[[#This Row],[SGEe Scopes 1&amp;2]],
tbl_School_Multi[[#This Row],[Gas]]*tbl_School_Multi[[#This Row],[SGEg Scopes 1&amp;2]],
tbl_School_Multi[[#This Row],[LPG]]*tbl_School_Multi[[#This Row],[SGEl Scopes 1&amp;2]],
tbl_School_Multi[[#This Row],[Diesel]]*tbl_School_Multi[[#This Row],[SGEd Scopes 1&amp;2]])</calculatedColumnFormula>
    </tableColumn>
    <tableColumn id="48" xr3:uid="{FEB47F54-0A63-491F-90EB-904577294AD0}" name="Actual Emissions with GP" dataDxfId="1111">
      <calculatedColumnFormula>SUM(tbl_School_Multi[[#This Row],[Electricity]]*(1-tbl_School_Multi[[#This Row],[GP]])*tbl_School_Multi[[#This Row],[SGEe]],
tbl_School_Multi[[#This Row],[Gas]]*tbl_School_Multi[[#This Row],[SGEg]],
tbl_School_Multi[[#This Row],[LPG]]*tbl_School_Multi[[#This Row],[SGEl]]*tbl_School_Multi[[#This Row],[CFlpg]],
tbl_School_Multi[[#This Row],[Diesel]]*tbl_School_Multi[[#This Row],[SGEd]])</calculatedColumnFormula>
    </tableColumn>
    <tableColumn id="78" xr3:uid="{DEE28BD8-F8AC-4A5C-AA97-4D01FAA8FED1}" name="Actual Emissions w/o GP" dataDxfId="1110">
      <calculatedColumnFormula>SUM(tbl_School_Multi[[#This Row],[Electricity]]*tbl_School_Multi[[#This Row],[SGEe]],
tbl_School_Multi[[#This Row],[Gas]]*tbl_School_Multi[[#This Row],[SGEg]],
tbl_School_Multi[[#This Row],[LPG]]*tbl_School_Multi[[#This Row],[SGEl]]*tbl_School_Multi[[#This Row],[CFlpg]],
tbl_School_Multi[[#This Row],[Diesel]]*tbl_School_Multi[[#This Row],[SGEd]])</calculatedColumnFormula>
    </tableColumn>
    <tableColumn id="6" xr3:uid="{BEB453BF-5603-419D-9058-D197BE3FED1E}" name="Actual/Predicted Emissions with GP" dataDxfId="1109">
      <calculatedColumnFormula>tbl_School_Multi[[#This Row],[Actual Emissions with GP]]/tbl_School_Multi[[#This Row],[Predicted Emissions]]</calculatedColumnFormula>
    </tableColumn>
    <tableColumn id="79" xr3:uid="{F418D2B3-E89B-46C4-ABE3-760895251AF7}" name="Actual/Predicted Emissions w/o GP" dataDxfId="1108">
      <calculatedColumnFormula>tbl_School_Multi[[#This Row],[Actual Emissions w/o GP]]/tbl_School_Multi[[#This Row],[Predicted Emissions]]</calculatedColumnFormula>
    </tableColumn>
    <tableColumn id="77" xr3:uid="{9F1F83AF-FD76-40F9-9FA6-9B38ADAD9DEF}" name="Energy Star Decimal with GP" dataDxfId="1107">
      <calculatedColumnFormula>7-3.75*tbl_School_Multi[[#This Row],[Actual/Predicted Emissions with GP]]</calculatedColumnFormula>
    </tableColumn>
    <tableColumn id="81" xr3:uid="{E558DA28-C9D7-4540-9F14-A3E396998F0D}" name="Energy Star Decimal w/o GP" dataDxfId="1106">
      <calculatedColumnFormula>7-3.75*tbl_School_Multi[[#This Row],[Actual/Predicted Emissions w/o GP]]</calculatedColumnFormula>
    </tableColumn>
    <tableColumn id="80" xr3:uid="{FFBED263-A1A3-4D4B-91D8-BCFCF0A834B2}" name="Energy Star with GP" dataDxfId="1105">
      <calculatedColumnFormula>MAX(MIN(ROUNDDOWN(tbl_School_Multi[[#This Row],[Energy Star Decimal with GP]]*2,0)/2,6),0)</calculatedColumnFormula>
    </tableColumn>
    <tableColumn id="76" xr3:uid="{93AF3C43-115E-4FE6-B332-10FF6230432B}" name="Energy Star w/o GP" dataDxfId="1104">
      <calculatedColumnFormula>MAX(MIN(ROUNDDOWN(tbl_School_Multi[[#This Row],[Energy Star Decimal w/o GP]]*2,0)/2,6),0)</calculatedColumnFormula>
    </tableColumn>
    <tableColumn id="82" xr3:uid="{75103A5B-7E01-4C3D-9969-B59B3529752E}" name="Actual Water with RW" dataDxfId="1103">
      <calculatedColumnFormula>tbl_School_Multi[[#This Row],[Water]]*(1-tbl_School_Multi[[#This Row],[RW]])</calculatedColumnFormula>
    </tableColumn>
    <tableColumn id="130" xr3:uid="{0953791B-1636-4DD4-A016-7E9B99C9E272}" name="Actual Water w/o RW" dataDxfId="1102">
      <calculatedColumnFormula>tbl_School_Multi[[#This Row],[Water]]</calculatedColumnFormula>
    </tableColumn>
    <tableColumn id="132" xr3:uid="{6C78A796-0CE7-4442-9309-3456A0465E54}" name="Actual/Predicted Water with RW" dataDxfId="1101">
      <calculatedColumnFormula>tbl_School_Multi[[#This Row],[Actual Water with RW]]/tbl_School_Multi[[#This Row],[Predicted Water]]</calculatedColumnFormula>
    </tableColumn>
    <tableColumn id="133" xr3:uid="{AD29E760-FFD7-482A-80E3-B8A565918C82}" name="Actual/Predicted Water w/o RW" dataDxfId="1100">
      <calculatedColumnFormula>tbl_School_Multi[[#This Row],[Actual Water w/o RW]]/tbl_School_Multi[[#This Row],[Predicted Water]]</calculatedColumnFormula>
    </tableColumn>
    <tableColumn id="131" xr3:uid="{D2E567A1-D2A7-43EA-81C0-96AAAD70B17D}" name="Water Star Decimal with RW" dataDxfId="1099">
      <calculatedColumnFormula>7-3.75*tbl_School_Multi[[#This Row],[Actual/Predicted Water with RW]]</calculatedColumnFormula>
    </tableColumn>
    <tableColumn id="83" xr3:uid="{6784A619-449A-40E5-A1B4-758C06884767}" name="Water Star Decimal w/o RW" dataDxfId="1098">
      <calculatedColumnFormula>7-3.75*tbl_School_Multi[[#This Row],[Actual/Predicted Water w/o RW]]</calculatedColumnFormula>
    </tableColumn>
    <tableColumn id="84" xr3:uid="{7C22EFCE-7CA1-42A1-9B39-DB07755FF10B}" name="Water Star with RW" dataDxfId="1097">
      <calculatedColumnFormula>MAX(MIN(ROUNDDOWN(tbl_School_Multi[[#This Row],[Water Star Decimal with RW]]*2,0)/2,6),0)</calculatedColumnFormula>
    </tableColumn>
    <tableColumn id="85" xr3:uid="{CDB889F5-4401-413B-8803-03A49EAA5595}" name="Water Star w/o RW" dataDxfId="1096">
      <calculatedColumnFormula>MAX(MIN(ROUNDDOWN(tbl_School_Multi[[#This Row],[Water Star Decimal w/o RW]]*2,0)/2,6),0)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2DCB91-0EE1-4B70-BDB9-4E27D3EB38A8}" name="tbl_Shopping_Centre_Multi" displayName="tbl_Shopping_Centre_Multi" ref="A3:HI6" totalsRowShown="0" headerRowDxfId="1095" dataDxfId="1094" headerRowBorderDxfId="1092" tableBorderDxfId="1093">
  <autoFilter ref="A3:HI6" xr:uid="{912DCB91-0EE1-4B70-BDB9-4E27D3EB38A8}"/>
  <tableColumns count="217">
    <tableColumn id="222" xr3:uid="{83C93DBD-692A-47DB-8436-09E6A4B797DB}" name="Target Energy" dataDxfId="1091"/>
    <tableColumn id="223" xr3:uid="{B7439133-2738-4EA4-9963-983DA4C3A2BC}" name="Target Water" dataDxfId="1090"/>
    <tableColumn id="1" xr3:uid="{36D7633D-C9CD-4DC1-A493-75B931FCAE2A}" name="Postcode" dataDxfId="1089"/>
    <tableColumn id="2" xr3:uid="{44290892-698D-4CE1-9565-325F02B2F0FE}" name="Stories" dataDxfId="1088"/>
    <tableColumn id="3" xr3:uid="{0E079171-73C3-432B-BCEC-27D94FBC8529}" name="GLAR" dataDxfId="1087"/>
    <tableColumn id="4" xr3:uid="{2763B18E-BDC7-4D53-9425-0202F74861A4}" name="GLARserviced" dataDxfId="1086"/>
    <tableColumn id="5" xr3:uid="{21F4B190-EE9A-4A21-8374-BDC751E8CE21}" name="GLARgym" dataDxfId="1085"/>
    <tableColumn id="148" xr3:uid="{2337A92A-8AD7-4870-A694-AFF948F5EEBB}" name="GLARservicedGym" dataDxfId="1084"/>
    <tableColumn id="6" xr3:uid="{CD519491-C208-48AE-BE04-A31A17527C26}" name="TD" dataDxfId="1083"/>
    <tableColumn id="7" xr3:uid="{BB31095F-7819-4765-80BB-4B9910A15DB3}" name="HS" dataDxfId="1082"/>
    <tableColumn id="8" xr3:uid="{F43F69BE-8B13-420B-976D-D485CFA87399}" name="CPMV" dataDxfId="1081"/>
    <tableColumn id="9" xr3:uid="{30FA7E94-8C65-4544-AA7B-1DC2C4E9FB14}" name="CPNV" dataDxfId="1080"/>
    <tableColumn id="10" xr3:uid="{4936370D-87DF-446E-8077-567D88B71F1E}" name="FCS" dataDxfId="1079"/>
    <tableColumn id="11" xr3:uid="{0B6BB8CF-F3D6-4CD3-8CFE-27446CB138F1}" name="Theatrettes" dataDxfId="1078"/>
    <tableColumn id="141" xr3:uid="{C16AE61B-5599-423A-A631-2141D8EFA7CE}" name="Electricity (%)" dataDxfId="1077"/>
    <tableColumn id="142" xr3:uid="{E0650E4A-2115-49E5-8447-0B93E3C371F1}" name="Gas (%)" dataDxfId="1076"/>
    <tableColumn id="143" xr3:uid="{6E4916B1-2430-4781-9B86-9C2969FC1A38}" name="Diesel (%)" dataDxfId="1075"/>
    <tableColumn id="144" xr3:uid="{494A023A-767B-42C2-8B13-7E7673AED959}" name="Energy Benchmark Factor" dataDxfId="1074">
      <calculatedColumnFormula>tbl_Shopping_Centre_Multi[[#This Row],[Target Max Energy BF]]</calculatedColumnFormula>
    </tableColumn>
    <tableColumn id="224" xr3:uid="{A229AEC6-44F3-4819-8555-B4248795B4CF}" name="Predicted Ave Emissions" dataDxfId="1073"/>
    <tableColumn id="225" xr3:uid="{D1AC7418-A094-4F19-95C6-1F411B0E3E4E}" name="Max Emissions at Target" dataDxfId="1072"/>
    <tableColumn id="135" xr3:uid="{80354B39-414D-4D71-ACEF-BD0C75AE9B11}" name="Max Emissions Intensity at Target" dataDxfId="1071">
      <calculatedColumnFormula>tbl_Shopping_Centre_Multi[[#This Row],[Target Max e]]</calculatedColumnFormula>
    </tableColumn>
    <tableColumn id="138" xr3:uid="{3FEF525E-F8E8-47A6-A751-70E010322304}" name="Max Energy Intensity at Target" dataDxfId="1070">
      <calculatedColumnFormula>tbl_Shopping_Centre_Multi[[#This Row],[Target Max Energy Intensity]]</calculatedColumnFormula>
    </tableColumn>
    <tableColumn id="226" xr3:uid="{D7925C8C-48C3-443C-A003-7ADC00814D82}" name="Actual Scope 1,2&amp;3 at Target" dataDxfId="1069"/>
    <tableColumn id="227" xr3:uid="{11A9CDCF-4839-4462-B5A3-0BF3701202D5}" name="Actual Scope 1&amp;2 at Targe" dataDxfId="1068"/>
    <tableColumn id="228" xr3:uid="{A691779D-F1A2-4E70-AF2F-D2573D234220}" name="Max Elec (kWh) at Target" dataDxfId="1067"/>
    <tableColumn id="229" xr3:uid="{FEAC29D0-7A71-436D-9357-D89C61F368A4}" name="Max Gas (MJ) at Target" dataDxfId="1066"/>
    <tableColumn id="230" xr3:uid="{8693161A-29B5-4BD1-AD5B-0CF3203A77CD}" name="Max Diesel (L) at Target" dataDxfId="1065"/>
    <tableColumn id="149" xr3:uid="{716C0064-1F68-4DD6-A08A-98624F41A98A}" name="Water Benchmark Factor" dataDxfId="1064">
      <calculatedColumnFormula>tbl_Shopping_Centre_Multi[[#This Row],[Target Max Water BF]]</calculatedColumnFormula>
    </tableColumn>
    <tableColumn id="232" xr3:uid="{583BB4B8-3C27-463F-ABF8-7C25CD27E6C5}" name="Predicted Ave Water" dataDxfId="1063"/>
    <tableColumn id="233" xr3:uid="{F4C81155-3E68-4642-9D35-27165DCE9008}" name="Max Water (kL) at Target" dataDxfId="1062"/>
    <tableColumn id="136" xr3:uid="{BF22A534-04E5-4E87-8B07-B311B8392A8F}" name="Max Water Intensity at Target" dataDxfId="1061">
      <calculatedColumnFormula>tbl_Shopping_Centre_Multi[[#This Row],[Target Max Water Intensity]]</calculatedColumnFormula>
    </tableColumn>
    <tableColumn id="12" xr3:uid="{02CC96C2-371E-4747-9CEE-09CCA954D714}" name="Electricity" dataDxfId="1060"/>
    <tableColumn id="13" xr3:uid="{737D4651-2314-4312-8C67-CF83E51F8443}" name="Gas" dataDxfId="1059"/>
    <tableColumn id="14" xr3:uid="{405559AB-B482-4037-8798-5D593360118D}" name="Diesel" dataDxfId="1058"/>
    <tableColumn id="15" xr3:uid="{821A8F03-111E-4567-B337-F93CC1757CD3}" name="GP" dataDxfId="1057"/>
    <tableColumn id="17" xr3:uid="{18BA5275-79D8-46D8-97A3-D7521728B0A6}" name="Water" dataDxfId="1056"/>
    <tableColumn id="18" xr3:uid="{192FA9F7-1D05-49D4-B380-233299A1F8FA}" name="RW" dataDxfId="1055"/>
    <tableColumn id="19" xr3:uid="{F8AE994F-F1FF-401B-A5E5-1AB3AD4823F7}" name="State" dataDxfId="1054">
      <calculatedColumnFormula>INDEX(tbl_Climate_Lookup[],MATCH(tbl_Shopping_Centre_Multi[[Postcode]:[Postcode]],tbl_Climate_Lookup[[Postcode]:[Postcode]],0),MATCH(tbl_Shopping_Centre_Multi[[#Headers],[State]],tbl_Climate_Lookup[#Headers],0))</calculatedColumnFormula>
    </tableColumn>
    <tableColumn id="20" xr3:uid="{B2F5FE0F-2DE5-434D-AAE1-15C9652721BD}" name="Climate zone" dataDxfId="1053">
      <calculatedColumnFormula>INDEX(tbl_Climate_Lookup[],MATCH(tbl_Shopping_Centre_Multi[[Postcode]:[Postcode]],tbl_Climate_Lookup[[Postcode]:[Postcode]],0),MATCH(tbl_Shopping_Centre_Multi[[#Headers],[Climate zone]],tbl_Climate_Lookup[#Headers],0))</calculatedColumnFormula>
    </tableColumn>
    <tableColumn id="21" xr3:uid="{F0AC2C13-7B38-4399-A5B1-4C3B822882AC}" name="HDD" dataDxfId="1052">
      <calculatedColumnFormula>INDEX(tbl_Climate_Lookup[],MATCH(tbl_Shopping_Centre_Multi[[Postcode]:[Postcode]],tbl_Climate_Lookup[[Postcode]:[Postcode]],0),MATCH(tbl_Shopping_Centre_Multi[[#Headers],[HDD]],tbl_Climate_Lookup[#Headers],0))</calculatedColumnFormula>
    </tableColumn>
    <tableColumn id="22" xr3:uid="{962F17C0-79A4-408F-980E-DD7B08A67832}" name="CDD" dataDxfId="1051">
      <calculatedColumnFormula>INDEX(tbl_Climate_Lookup[],MATCH(tbl_Shopping_Centre_Multi[[Postcode]:[Postcode]],tbl_Climate_Lookup[[Postcode]:[Postcode]],0),MATCH(tbl_Shopping_Centre_Multi[[#Headers],[CDD]],tbl_Climate_Lookup[#Headers],0))</calculatedColumnFormula>
    </tableColumn>
    <tableColumn id="23" xr3:uid="{D57EA5E0-5867-4A9A-A7BD-4B63C007D850}" name="Small" dataDxfId="1050">
      <calculatedColumnFormula>IF(tbl_Shopping_Centre_Multi[[#This Row],[GLAR]]&lt;15000,TRUE,FALSE)</calculatedColumnFormula>
    </tableColumn>
    <tableColumn id="24" xr3:uid="{9B67D7B7-6B5B-4F52-804F-1894B69D0927}" name="Floors" dataDxfId="1049">
      <calculatedColumnFormula>IF(tbl_Shopping_Centre_Multi[[#This Row],[Stories]]="Multi Storey", 1, 0 )</calculatedColumnFormula>
    </tableColumn>
    <tableColumn id="25" xr3:uid="{B23E8611-91C7-41EB-B919-AA9D3398E3CE}" name="SGEe" dataDxfId="1048">
      <calculatedColumnFormula>INDEX(tbl_SGE_2020[],MATCH(tbl_Shopping_Centre_Multi[[State]:[State]],tbl_SGE_2020[[State]:[State]],0),MATCH(tbl_Shopping_Centre_Multi[[#Headers],[SGEe]],tbl_SGE_2020[#Headers],0))</calculatedColumnFormula>
    </tableColumn>
    <tableColumn id="26" xr3:uid="{08F85A6C-5B22-4B05-BC50-04D31BC808DE}" name="SGEg" dataDxfId="1047">
      <calculatedColumnFormula>INDEX(tbl_SGE_2020[],MATCH(tbl_Shopping_Centre_Multi[[State]:[State]],tbl_SGE_2020[[State]:[State]],0),MATCH(tbl_Shopping_Centre_Multi[[#Headers],[SGEg]],tbl_SGE_2020[#Headers],0))</calculatedColumnFormula>
    </tableColumn>
    <tableColumn id="27" xr3:uid="{4ACB9129-ADE3-4B28-B806-85BA4A3DCAD8}" name="SGEd" dataDxfId="1046">
      <calculatedColumnFormula>INDEX(tbl_SGE_2020[],MATCH(tbl_Shopping_Centre_Multi[[State]:[State]],tbl_SGE_2020[[State]:[State]],0),MATCH(tbl_Shopping_Centre_Multi[[#Headers],[SGEd]],tbl_SGE_2020[#Headers],0))</calculatedColumnFormula>
    </tableColumn>
    <tableColumn id="145" xr3:uid="{076966F2-FF84-4D05-B464-203FA3C66DB1}" name="CFelec" dataDxfId="1045">
      <calculatedColumnFormula>INDEX(tbl_Conversion_Factors[[Conversion Factors]:[Conversion Factors]],MATCH(tbl_Shopping_Centre_Multi[[#Headers],[CFelec]],tbl_Conversion_Factors[[Reference]:[Reference]],0))</calculatedColumnFormula>
    </tableColumn>
    <tableColumn id="146" xr3:uid="{93BA9D4C-9CE7-4426-A1C1-C9963603A22B}" name="CFdiesel" dataDxfId="1044">
      <calculatedColumnFormula>INDEX(tbl_Conversion_Factors[[Conversion Factors]:[Conversion Factors]],MATCH(tbl_Shopping_Centre_Multi[[#Headers],[CFdiesel]],tbl_Conversion_Factors[[Reference]:[Reference]],0))</calculatedColumnFormula>
    </tableColumn>
    <tableColumn id="151" xr3:uid="{033D02A4-E361-4A06-A029-A82BB389CE44}" name="SGEeMJ" dataDxfId="1043">
      <calculatedColumnFormula>tbl_Shopping_Centre_Multi[[#This Row],[SGEe]]/tbl_Shopping_Centre_Multi[[#This Row],[CFelec]]</calculatedColumnFormula>
    </tableColumn>
    <tableColumn id="152" xr3:uid="{27900AE2-F2A3-49C0-A449-7E13BD253E30}" name="SGEdMJ" dataDxfId="1042">
      <calculatedColumnFormula>tbl_Shopping_Centre_Multi[[#This Row],[SGEd]]/tbl_Shopping_Centre_Multi[[#This Row],[CFdiesel]]</calculatedColumnFormula>
    </tableColumn>
    <tableColumn id="154" xr3:uid="{2645A234-676B-4C49-9439-35A75C10FF74}" name="EffGHG" dataDxfId="1041">
      <calculatedColumnFormula>IF(SUM(tbl_Shopping_Centre_Multi[[#This Row],[Electricity (%)]:[Diesel (%)]])=1,
SUM(tbl_Shopping_Centre_Multi[[#This Row],[Electricity (%)]]*tbl_Shopping_Centre_Multi[[#This Row],[SGEeMJ]],
tbl_Shopping_Centre_Multi[[#This Row],[Gas (%)]]*tbl_Shopping_Centre_Multi[[#This Row],[SGEg]],
tbl_Shopping_Centre_Multi[[#This Row],[Diesel (%)]]*tbl_Shopping_Centre_Multi[[#This Row],[SGEdMJ]]),
0)</calculatedColumnFormula>
    </tableColumn>
    <tableColumn id="244" xr3:uid="{15AC3A96-46D2-4633-97A1-B8DB053EDA64}" name="SGEe Scopes 1,2&amp;3" dataDxfId="1040">
      <calculatedColumnFormula>INDEX(tbl_NGA_Factors_2021[],MATCH(tbl_Shopping_Centre_Multi[[State]:[State]],tbl_NGA_Factors_2021[[State]:[State]],0),MATCH(tbl_Shopping_Centre_Multi[[#Headers],[SGEe Scopes 1,2&amp;3]],tbl_NGA_Factors_2021[#Headers],0))</calculatedColumnFormula>
    </tableColumn>
    <tableColumn id="245" xr3:uid="{544C61BA-EFB4-4AD5-839A-20B181DB0A12}" name="SGEg Scopes 1,2&amp;3" dataDxfId="1039">
      <calculatedColumnFormula>INDEX(tbl_NGA_Factors_2021[],MATCH(tbl_Shopping_Centre_Multi[[State]:[State]],tbl_NGA_Factors_2021[[State]:[State]],0),MATCH(tbl_Shopping_Centre_Multi[[#Headers],[SGEg Scopes 1,2&amp;3]],tbl_NGA_Factors_2021[#Headers],0))</calculatedColumnFormula>
    </tableColumn>
    <tableColumn id="246" xr3:uid="{8309968F-057A-43CF-8A23-620514E31550}" name="SGEd Scopes 1,2&amp;3" dataDxfId="1038">
      <calculatedColumnFormula>INDEX(tbl_NGA_Factors_2021[],MATCH(tbl_Shopping_Centre_Multi[[State]:[State]],tbl_NGA_Factors_2021[[State]:[State]],0),MATCH(tbl_Shopping_Centre_Multi[[#Headers],[SGEd Scopes 1,2&amp;3]],tbl_NGA_Factors_2021[#Headers],0))</calculatedColumnFormula>
    </tableColumn>
    <tableColumn id="248" xr3:uid="{B48E1BD4-EDE8-431B-B1AA-7BB2D139D69B}" name="SGEe Scopes 1&amp;2" dataDxfId="1037">
      <calculatedColumnFormula>INDEX(tbl_NGA_Factors_2021[],MATCH(tbl_Shopping_Centre_Multi[[State]:[State]],tbl_NGA_Factors_2021[[State]:[State]],0),MATCH(tbl_Shopping_Centre_Multi[[#Headers],[SGEe Scopes 1&amp;2]],tbl_NGA_Factors_2021[#Headers],0))</calculatedColumnFormula>
    </tableColumn>
    <tableColumn id="249" xr3:uid="{60E2D8E2-49CB-4DB6-84A8-DA442BC6C0BA}" name="SGEg Scopes 1&amp;2" dataDxfId="1036">
      <calculatedColumnFormula>INDEX(tbl_NGA_Factors_2021[],MATCH(tbl_Shopping_Centre_Multi[[State]:[State]],tbl_NGA_Factors_2021[[State]:[State]],0),MATCH(tbl_Shopping_Centre_Multi[[#Headers],[SGEg Scopes 1&amp;2]],tbl_NGA_Factors_2021[#Headers],0))</calculatedColumnFormula>
    </tableColumn>
    <tableColumn id="250" xr3:uid="{632E9AB6-6362-40F6-BBC3-BF0BB1131AF6}" name="SGEd Scopes 1&amp;2" dataDxfId="1035">
      <calculatedColumnFormula>INDEX(tbl_NGA_Factors_2021[],MATCH(tbl_Shopping_Centre_Multi[[State]:[State]],tbl_NGA_Factors_2021[[State]:[State]],0),MATCH(tbl_Shopping_Centre_Multi[[#Headers],[SGEd Scopes 1&amp;2]],tbl_NGA_Factors_2021[#Headers],0))</calculatedColumnFormula>
    </tableColumn>
    <tableColumn id="28" xr3:uid="{131C840E-A8F7-40F1-AA6B-F26E65915210}" name="Ggas" dataDxfId="1034">
      <calculatedColumnFormula>(Shopping_Centre_C_E_Large_Gas*tbl_Shopping_Centre_Multi[[#This Row],[HDD]]*tbl_Shopping_Centre_Multi[[#This Row],[GLARserviced]]*tbl_Shopping_Centre_Multi[[#This Row],[HS]]*tbl_Shopping_Centre_Multi[[#This Row],[SGEg]])/(tbl_Shopping_Centre_Multi[[#This Row],[GLAR]]*Shopping_Centre_C_E_Large_General_Hrs_Ave)</calculatedColumnFormula>
    </tableColumn>
    <tableColumn id="34" xr3:uid="{FA517023-D315-4795-9A48-3F3BF4D1CD03}" name="Ggeneral" dataDxfId="1033">
      <calculatedColumnFormula>SUM(Shopping_Centre_C_E_Large_General_Intercept,tbl_Shopping_Centre_Multi[[#This Row],[23.45*Floors]],tbl_Shopping_Centre_Multi[[#This Row],[0.101*CDD*GLARserviced*HS/(GLAR*60)]],tbl_Shopping_Centre_Multi[[#This Row],[0.000438*GLAR*TD/357.2]],tbl_Shopping_Centre_Multi[[#This Row],[944*CPmv/GLAR]],tbl_Shopping_Centre_Multi[[#This Row],[204*CPnv/GLAR]])*tbl_Shopping_Centre_Multi[[#This Row],[SGEe]]</calculatedColumnFormula>
    </tableColumn>
    <tableColumn id="35" xr3:uid="{1ED9B2D5-A1DF-4824-9813-ECF31A3A1BF8}" name="er" dataDxfId="1032">
      <calculatedColumnFormula>SUM(tbl_Shopping_Centre_Multi[[#This Row],[Ggas]],tbl_Shopping_Centre_Multi[[#This Row],[Ggeneral]])</calculatedColumnFormula>
    </tableColumn>
    <tableColumn id="44" xr3:uid="{3A38BD57-668D-4059-83AF-8AAEC482D8D7}" name="ersmall" dataDxfId="1031">
      <calculatedColumnFormula>SUM(Shopping_Centre_C_E_Small_Intercept,tbl_Shopping_Centre_Multi[[#This Row],[0.105*HS/60.25]],tbl_Shopping_Centre_Multi[[#This Row],[35.54*TD/359.56]],tbl_Shopping_Centre_Multi[[#This Row],[64.08*Floors]],tbl_Shopping_Centre_Multi[[#This Row],[7.90*GLARserviced/GLAR]],tbl_Shopping_Centre_Multi[[#This Row],[150.52*CPmv/GLAR]],tbl_Shopping_Centre_Multi[[#This Row],[100.35*CPnv/GLAR]],tbl_Shopping_Centre_Multi[[#This Row],[420.87*FCS/GLAR]],tbl_Shopping_Centre_Multi[[#This Row],[1868.87*GLARservicedGym/GLAR]])*tbl_Shopping_Centre_Multi[[#This Row],[SGEe]]</calculatedColumnFormula>
    </tableColumn>
    <tableColumn id="29" xr3:uid="{BBECBD2B-CDD1-48B3-87E4-857F2721D94D}" name="23.45*Floors" dataDxfId="1030">
      <calculatedColumnFormula>Shopping_Centre_C_E_Large_General_Floors*tbl_Shopping_Centre_Multi[[#This Row],[Floors]]</calculatedColumnFormula>
    </tableColumn>
    <tableColumn id="30" xr3:uid="{F9BF88AD-2F0A-4427-850E-E115298A4C8C}" name="0.101*CDD*GLARserviced*HS/(GLAR*60)" dataDxfId="1029">
      <calculatedColumnFormula>(Shopping_Centre_C_E_Large_General_CDD*tbl_Shopping_Centre_Multi[[#This Row],[CDD]]*tbl_Shopping_Centre_Multi[[#This Row],[GLARserviced]]*tbl_Shopping_Centre_Multi[[#This Row],[HS]])/(tbl_Shopping_Centre_Multi[[#This Row],[GLAR]]*Shopping_Centre_C_E_Large_General_Hrs_Ave)</calculatedColumnFormula>
    </tableColumn>
    <tableColumn id="31" xr3:uid="{170702FE-9204-47AA-819B-35C6AEDAAABB}" name="0.000438*GLAR*TD/357.2" dataDxfId="1028">
      <calculatedColumnFormula>(Shopping_Centre_C_E_Large_General_TD*tbl_Shopping_Centre_Multi[[#This Row],[GLAR]]*tbl_Shopping_Centre_Multi[[#This Row],[TD]])/Shopping_Centre_C_E_Large_General_TD_Ave</calculatedColumnFormula>
    </tableColumn>
    <tableColumn id="32" xr3:uid="{4DCA0172-DFEA-42AF-B5AC-501C3D7D58F6}" name="944*CPmv/GLAR" dataDxfId="1027">
      <calculatedColumnFormula>(Shopping_Centre_C_E_Large_General_CP_Mech*tbl_Shopping_Centre_Multi[[#This Row],[CPMV]])/tbl_Shopping_Centre_Multi[[#This Row],[GLAR]]</calculatedColumnFormula>
    </tableColumn>
    <tableColumn id="33" xr3:uid="{86F9D30A-7991-4078-B3F4-73036058F20B}" name="204*CPnv/GLAR" dataDxfId="1026">
      <calculatedColumnFormula>(Shopping_Centre_C_E_Large_General_CP_Nat*tbl_Shopping_Centre_Multi[[#This Row],[CPNV]])/tbl_Shopping_Centre_Multi[[#This Row],[GLAR]]</calculatedColumnFormula>
    </tableColumn>
    <tableColumn id="36" xr3:uid="{7E88BDA6-A5ED-45E7-8EA6-E53ABF8ACC47}" name="0.105*HS/60.25" dataDxfId="1025">
      <calculatedColumnFormula>Shopping_Centre_C_E_Small_Hrs*tbl_Shopping_Centre_Multi[[#This Row],[HS]]/Shopping_Centre_C_E_Small_Hrs_Ave</calculatedColumnFormula>
    </tableColumn>
    <tableColumn id="37" xr3:uid="{BEBD2CDD-0951-4095-9B4B-B033E37E599E}" name="35.54*TD/359.56" dataDxfId="1024">
      <calculatedColumnFormula>Shopping_Centre_C_E_Small_TD*tbl_Shopping_Centre_Multi[[#This Row],[TD]]/Shopping_Centre_C_E_Small_TD_Ave</calculatedColumnFormula>
    </tableColumn>
    <tableColumn id="38" xr3:uid="{2C9E14D3-14ED-4CE4-B193-E18E9308E70B}" name="64.08*Floors" dataDxfId="1023">
      <calculatedColumnFormula>Shopping_Centre_C_E_Small_Floors*tbl_Shopping_Centre_Multi[[#This Row],[Floors]]</calculatedColumnFormula>
    </tableColumn>
    <tableColumn id="39" xr3:uid="{96391AA5-7A7D-4181-850E-A532BA504DE2}" name="7.90*GLARserviced/GLAR" dataDxfId="1022">
      <calculatedColumnFormula>Shopping_Centre_C_E_Small_GLAR_Serviced*tbl_Shopping_Centre_Multi[[#This Row],[GLARserviced]]/tbl_Shopping_Centre_Multi[[#This Row],[GLAR]]</calculatedColumnFormula>
    </tableColumn>
    <tableColumn id="40" xr3:uid="{908A614A-CD51-48CE-A974-6994F9173611}" name="150.52*CPmv/GLAR" dataDxfId="1021">
      <calculatedColumnFormula>Shopping_Centre_C_E_Small_CP_Mech*tbl_Shopping_Centre_Multi[[#This Row],[CPMV]]/tbl_Shopping_Centre_Multi[[#This Row],[GLAR]]</calculatedColumnFormula>
    </tableColumn>
    <tableColumn id="41" xr3:uid="{AAEC4EB8-4A4C-48DF-A4FE-3BAD3C16E859}" name="100.35*CPnv/GLAR" dataDxfId="1020">
      <calculatedColumnFormula>Shopping_Centre_C_E_Small_CP_Natural*tbl_Shopping_Centre_Multi[[#This Row],[CPNV]]/tbl_Shopping_Centre_Multi[[#This Row],[GLAR]]</calculatedColumnFormula>
    </tableColumn>
    <tableColumn id="42" xr3:uid="{A4722A9F-C652-45E4-9497-3A948D138CF1}" name="420.87*FCS/GLAR" dataDxfId="1019">
      <calculatedColumnFormula>Shopping_Centre_C_E_Small_FCS*tbl_Shopping_Centre_Multi[[#This Row],[FCS]]/tbl_Shopping_Centre_Multi[[#This Row],[GLAR]]</calculatedColumnFormula>
    </tableColumn>
    <tableColumn id="43" xr3:uid="{94466F18-5A7B-49BA-B78F-F635BE2EF1D0}" name="1868.87*GLARservicedGym/GLAR" dataDxfId="1018">
      <calculatedColumnFormula>Shopping_Centre_C_E_Small_GLAR_Serviced_Gym*tbl_Shopping_Centre_Multi[[#This Row],[GLARservicedGym]]/tbl_Shopping_Centre_Multi[[#This Row],[GLAR]]</calculatedColumnFormula>
    </tableColumn>
    <tableColumn id="52" xr3:uid="{B47A3AB1-EE19-4CEE-98E8-697BFF2D3537}" name="wr" dataDxfId="1017">
      <calculatedColumnFormula>SUM(Shopping_Centre_C_W_Large_Intercept,tbl_Shopping_Centre_Multi[[#This Row],[0.000314*CDD]],SUM(tbl_Shopping_Centre_Multi[[#This Row],[5.93*GLARgym]],tbl_Shopping_Centre_Multi[[#This Row],[18.9*FCS]],tbl_Shopping_Centre_Multi[[#This Row],[814*Theatrettes]])/tbl_Shopping_Centre_Multi[[#This Row],[GLAR]])</calculatedColumnFormula>
    </tableColumn>
    <tableColumn id="53" xr3:uid="{C4D53E2C-6D9D-47A8-9DCA-8A82FE9B34BF}" name="wrsmall" dataDxfId="1016">
      <calculatedColumnFormula>SUM(Shopping_Centre_C_W_Small_Intercept,tbl_Shopping_Centre_Multi[[#This Row],[0.0000148*TD]],tbl_Shopping_Centre_Multi[[#This Row],[0.01082*HS]],tbl_Shopping_Centre_Multi[[#This Row],[0.0000399*CDD]],tbl_Shopping_Centre_Multi[[#This Row],[0.000019*GLAR]],SUM(tbl_Shopping_Centre_Multi[[#This Row],[5.42*GLARgym]],tbl_Shopping_Centre_Multi[[#This Row],[6.23*FCS]],tbl_Shopping_Centre_Multi[[#This Row],[814*Theatrettes]])/tbl_Shopping_Centre_Multi[[#This Row],[GLAR]])</calculatedColumnFormula>
    </tableColumn>
    <tableColumn id="54" xr3:uid="{7D0C4488-208B-4BE6-BB35-A281D3B4EE02}" name="0.000314*CDD" dataDxfId="1015">
      <calculatedColumnFormula>Shopping_Centre_C_W_Large_CDD*tbl_Shopping_Centre_Multi[[#This Row],[CDD]]</calculatedColumnFormula>
    </tableColumn>
    <tableColumn id="55" xr3:uid="{75C28C4C-6ED2-4021-B717-AF1450A75EAB}" name="5.93*GLARgym" dataDxfId="1014">
      <calculatedColumnFormula>Shopping_Centre_C_W_Large_GLARgym*tbl_Shopping_Centre_Multi[[#This Row],[GLARgym]]</calculatedColumnFormula>
    </tableColumn>
    <tableColumn id="56" xr3:uid="{D280AD27-E702-4D17-9FA8-0E9431D24BE3}" name="18.9*FCS" dataDxfId="1013">
      <calculatedColumnFormula>Shopping_Centre_C_W_Large_FCS*tbl_Shopping_Centre_Multi[[#This Row],[FCS]]</calculatedColumnFormula>
    </tableColumn>
    <tableColumn id="57" xr3:uid="{FD4868D8-4695-4E37-AB5E-5323B90005C2}" name="814*Theatrettes" dataDxfId="1012">
      <calculatedColumnFormula>Shopping_Centre_C_W_Shared_Theatrettes*tbl_Shopping_Centre_Multi[[#This Row],[Theatrettes]]</calculatedColumnFormula>
    </tableColumn>
    <tableColumn id="58" xr3:uid="{408B3DBB-1732-412E-9221-A7D46A5C200F}" name="0.0000148*TD" dataDxfId="1011">
      <calculatedColumnFormula>Shopping_Centre_C_W_Small_TD*tbl_Shopping_Centre_Multi[[#This Row],[TD]]</calculatedColumnFormula>
    </tableColumn>
    <tableColumn id="59" xr3:uid="{A9157A46-7B2B-45DD-86E7-62C915229EB8}" name="0.01082*HS" dataDxfId="1010">
      <calculatedColumnFormula>Shopping_Centre_C_W_Small_Hrs*tbl_Shopping_Centre_Multi[[#This Row],[HS]]</calculatedColumnFormula>
    </tableColumn>
    <tableColumn id="60" xr3:uid="{B84CD5C9-C7AC-414F-9C39-9913D6406D97}" name="0.0000399*CDD" dataDxfId="1009">
      <calculatedColumnFormula>Shopping_Centre_C_W_Small_CDD*tbl_Shopping_Centre_Multi[[#This Row],[CDD]]</calculatedColumnFormula>
    </tableColumn>
    <tableColumn id="61" xr3:uid="{5334858F-B56A-4355-83A1-2ABFE00B9D0D}" name="0.000019*GLAR" dataDxfId="1008">
      <calculatedColumnFormula>Shopping_Centre_C_W_Small_GLAR*tbl_Shopping_Centre_Multi[[#This Row],[GLAR]]</calculatedColumnFormula>
    </tableColumn>
    <tableColumn id="62" xr3:uid="{C50B38C2-44D6-4E52-AB4B-FFC1651CD248}" name="5.42*GLARgym" dataDxfId="1007">
      <calculatedColumnFormula>Shopping_Centre_C_W_Small_GLAR_gym*tbl_Shopping_Centre_Multi[[#This Row],[GLARgym]]</calculatedColumnFormula>
    </tableColumn>
    <tableColumn id="63" xr3:uid="{22E4F7C7-518F-4D52-AD0E-52246F5B3203}" name="6.23*FCS" dataDxfId="1006">
      <calculatedColumnFormula>Shopping_Centre_C_W_Small_FCS*tbl_Shopping_Centre_Multi[[#This Row],[FCS]]</calculatedColumnFormula>
    </tableColumn>
    <tableColumn id="168" xr3:uid="{34E50DB8-24A9-4777-ABB6-A6F90005AEB9}" name="Predicted Emissions" dataDxfId="1005">
      <calculatedColumnFormula>tbl_Shopping_Centre_Multi[[#This Row],[er]]*tbl_Shopping_Centre_Multi[[#This Row],[GLAR]]</calculatedColumnFormula>
    </tableColumn>
    <tableColumn id="169" xr3:uid="{32539FFB-53F4-4DC9-9538-6A7E7426A1CA}" name="Predicted Emissions Small" dataDxfId="1004">
      <calculatedColumnFormula>tbl_Shopping_Centre_Multi[[#This Row],[ersmall]]*tbl_Shopping_Centre_Multi[[#This Row],[GLAR]]</calculatedColumnFormula>
    </tableColumn>
    <tableColumn id="234" xr3:uid="{0508D324-9F3F-4D60-9DA0-53837CFC08BF}" name="Target Max Energy BF" dataDxfId="1003">
      <calculatedColumnFormula>(tbl_Shopping_Centre_Multi[[#This Row],[Target Energy]]-7)/(-6/159)</calculatedColumnFormula>
    </tableColumn>
    <tableColumn id="237" xr3:uid="{07A6B27B-5F3B-4FA0-A44A-3ED9AE01AFC1}" name="Target Max e" dataDxfId="1002">
      <calculatedColumnFormula>tbl_Shopping_Centre_Multi[[#This Row],[Target Max Energy BF]]/100*IF(tbl_Shopping_Centre_Multi[[#This Row],[Small]],tbl_Shopping_Centre_Multi[ersmall],tbl_Shopping_Centre_Multi[[#This Row],[er]])</calculatedColumnFormula>
    </tableColumn>
    <tableColumn id="238" xr3:uid="{F6E9604E-A58F-4A96-8F27-A9B7D2C06167}" name="Target Max CO2" dataDxfId="1001">
      <calculatedColumnFormula>tbl_Shopping_Centre_Multi[[#This Row],[Target Max e]]*tbl_Shopping_Centre_Multi[[#This Row],[GLAR]]</calculatedColumnFormula>
    </tableColumn>
    <tableColumn id="239" xr3:uid="{40FA36C3-394B-4C98-BC21-C43C071F0F1A}" name="Target Max Energy (MJ)" dataDxfId="1000">
      <calculatedColumnFormula>tbl_Shopping_Centre_Multi[[#This Row],[Target Max CO2]]/tbl_Shopping_Centre_Multi[[#This Row],[EffGHG]]</calculatedColumnFormula>
    </tableColumn>
    <tableColumn id="139" xr3:uid="{90C384B2-0AFC-415D-877D-BBEBCB8BEA74}" name="Target Max Energy Intensity" dataDxfId="999">
      <calculatedColumnFormula>tbl_Shopping_Centre_Multi[[#This Row],[Target Max Energy (MJ)]]/tbl_Shopping_Centre_Multi[[#This Row],[GLAR]]</calculatedColumnFormula>
    </tableColumn>
    <tableColumn id="240" xr3:uid="{8920F49B-63B4-4709-92A1-960671A86849}" name="Target Max Elec (kWh)" dataDxfId="998">
      <calculatedColumnFormula>ROUNDDOWN(tbl_Shopping_Centre_Multi[[#This Row],[Target Max Energy (MJ)]]*tbl_Shopping_Centre_Multi[[#This Row],[Electricity (%)]]/tbl_Shopping_Centre_Multi[[#This Row],[CFelec]],0)</calculatedColumnFormula>
    </tableColumn>
    <tableColumn id="241" xr3:uid="{F1A82CEC-B3D6-4BEC-9ADE-5A32B74BF42B}" name="Target Max Gas (MJ)" dataDxfId="997">
      <calculatedColumnFormula>ROUNDDOWN(tbl_Shopping_Centre_Multi[[#This Row],[Target Max Energy (MJ)]]*tbl_Shopping_Centre_Multi[[#This Row],[Gas (%)]],0)</calculatedColumnFormula>
    </tableColumn>
    <tableColumn id="242" xr3:uid="{946C88FB-B12C-4AEA-8033-D23D42CEF529}" name="Target Max Diesel (L)" dataDxfId="996">
      <calculatedColumnFormula>ROUNDDOWN(tbl_Shopping_Centre_Multi[[#This Row],[Target Max Energy (MJ)]]*tbl_Shopping_Centre_Multi[[#This Row],[Diesel (%)]]/tbl_Shopping_Centre_Multi[[#This Row],[CFdiesel]],0)</calculatedColumnFormula>
    </tableColumn>
    <tableColumn id="252" xr3:uid="{BF5CEDB2-9336-4F7C-BAF4-ECD678D231C9}" name="Target Scopes 1,2&amp;3" dataDxfId="995">
      <calculatedColumnFormula>SUM(tbl_Shopping_Centre_Multi[[#This Row],[Target Max Elec (kWh)]]*tbl_Shopping_Centre_Multi[[#This Row],[SGEe Scopes 1,2&amp;3]],
tbl_Shopping_Centre_Multi[[#This Row],[Target Max Gas (MJ)]]*tbl_Shopping_Centre_Multi[[#This Row],[SGEg Scopes 1,2&amp;3]],
tbl_Shopping_Centre_Multi[[#This Row],[Target Max Diesel (L)]]*tbl_Shopping_Centre_Multi[[#This Row],[SGEd Scopes 1,2&amp;3]])</calculatedColumnFormula>
    </tableColumn>
    <tableColumn id="253" xr3:uid="{BA8DA4F6-7BAF-4B3F-9E88-04608A1D1453}" name="Target Scopes 1&amp;2" dataDxfId="994">
      <calculatedColumnFormula>SUM(tbl_Shopping_Centre_Multi[[#This Row],[Target Max Elec (kWh)]]*tbl_Shopping_Centre_Multi[[#This Row],[SGEe Scopes 1&amp;2]],
tbl_Shopping_Centre_Multi[[#This Row],[Target Max Gas (MJ)]]*tbl_Shopping_Centre_Multi[[#This Row],[SGEg Scopes 1&amp;2]],
tbl_Shopping_Centre_Multi[[#This Row],[Target Max Diesel (L)]]*tbl_Shopping_Centre_Multi[[#This Row],[SGEd Scopes 1&amp;2]])</calculatedColumnFormula>
    </tableColumn>
    <tableColumn id="191" xr3:uid="{A0F0043F-A5AA-4095-ADEF-64E72B08A422}" name="Predicted Water" dataDxfId="993">
      <calculatedColumnFormula>tbl_Shopping_Centre_Multi[[#This Row],[wr]]*tbl_Shopping_Centre_Multi[[#This Row],[GLAR]]</calculatedColumnFormula>
    </tableColumn>
    <tableColumn id="192" xr3:uid="{30602F2C-8FED-421B-A5E6-13FBBDEFABBF}" name="Predicted Water Small" dataDxfId="992">
      <calculatedColumnFormula>tbl_Shopping_Centre_Multi[[#This Row],[wrsmall]]*tbl_Shopping_Centre_Multi[[#This Row],[GLAR]]</calculatedColumnFormula>
    </tableColumn>
    <tableColumn id="254" xr3:uid="{F459E954-9CA2-4BDD-BEE7-FD3B71D5CFF5}" name="Target Max Water BF" dataDxfId="991">
      <calculatedColumnFormula>(tbl_Shopping_Centre_Multi[[#This Row],[Target Water]]-7)/(-6/159)</calculatedColumnFormula>
    </tableColumn>
    <tableColumn id="255" xr3:uid="{F765E376-3FCB-426C-8DA3-7FFEC13D670F}" name="Target Max Water (kL)" dataDxfId="990">
      <calculatedColumnFormula>ROUNDDOWN(tbl_Shopping_Centre_Multi[[#This Row],[Target Max Water BF]]/100*IF(tbl_Shopping_Centre_Multi[[#This Row],[Small]],tbl_Shopping_Centre_Multi[[#This Row],[wrsmall]],tbl_Shopping_Centre_Multi[[#This Row],[wr]])*tbl_Shopping_Centre_Multi[[#This Row],[GLAR]],0)</calculatedColumnFormula>
    </tableColumn>
    <tableColumn id="137" xr3:uid="{12A59861-3B96-4B22-AEDA-AFF5291B7146}" name="Target Max Water Intensity" dataDxfId="989">
      <calculatedColumnFormula>tbl_Shopping_Centre_Multi[[#This Row],[Target Max Water BF]]/100*IF(tbl_Shopping_Centre_Multi[[#This Row],[Small]],tbl_Shopping_Centre_Multi[[#This Row],[wrsmall]],tbl_Shopping_Centre_Multi[[#This Row],[wr]])</calculatedColumnFormula>
    </tableColumn>
    <tableColumn id="64" xr3:uid="{AD74623B-28C3-4CF5-A845-B3845E775D3D}" name="6.0* Max BF" dataDxfId="988">
      <calculatedColumnFormula>(LEFT(tbl_Shopping_Centre_Multi[[#Headers],[6.0* Max BF]],3)-7)/(-6/159)</calculatedColumnFormula>
    </tableColumn>
    <tableColumn id="65" xr3:uid="{B58A30F4-20CE-4884-86D3-1FBFAE9DBF11}" name="5.5* Max BF" dataDxfId="987">
      <calculatedColumnFormula>(LEFT(tbl_Shopping_Centre_Multi[[#Headers],[5.5* Max BF]],3)-7)/(-6/159)</calculatedColumnFormula>
    </tableColumn>
    <tableColumn id="66" xr3:uid="{11094669-FBCC-4C50-9AD8-D7C343862C32}" name="5.0* Max BF" dataDxfId="986">
      <calculatedColumnFormula>(LEFT(tbl_Shopping_Centre_Multi[[#Headers],[5.0* Max BF]],3)-7)/(-6/159)</calculatedColumnFormula>
    </tableColumn>
    <tableColumn id="67" xr3:uid="{CE0110A3-E709-448F-B043-F0E6D3AE246A}" name="4.5* Max BF" dataDxfId="985">
      <calculatedColumnFormula>(LEFT(tbl_Shopping_Centre_Multi[[#Headers],[4.5* Max BF]],3)-7)/(-6/159)</calculatedColumnFormula>
    </tableColumn>
    <tableColumn id="68" xr3:uid="{DD620B57-91EB-41F0-A785-DC7F74A8E153}" name="4.0* Max BF" dataDxfId="984">
      <calculatedColumnFormula>(LEFT(tbl_Shopping_Centre_Multi[[#Headers],[4.0* Max BF]],3)-7)/(-6/159)</calculatedColumnFormula>
    </tableColumn>
    <tableColumn id="69" xr3:uid="{D0915563-7BDB-4A89-9C9C-01524D5B3E4E}" name="3.5* Max BF" dataDxfId="983">
      <calculatedColumnFormula>(LEFT(tbl_Shopping_Centre_Multi[[#Headers],[3.5* Max BF]],3)-7)/(-6/159)</calculatedColumnFormula>
    </tableColumn>
    <tableColumn id="70" xr3:uid="{A04B3A1E-F474-400F-8951-2A3D337BFE9E}" name="3.0* Max BF" dataDxfId="982">
      <calculatedColumnFormula>(LEFT(tbl_Shopping_Centre_Multi[[#Headers],[3.0* Max BF]],3)-7)/(-6/159)</calculatedColumnFormula>
    </tableColumn>
    <tableColumn id="71" xr3:uid="{EE1D6A04-F9ED-486D-BBCB-9BCFEF28A28E}" name="2.5* Max BF" dataDxfId="981">
      <calculatedColumnFormula>(LEFT(tbl_Shopping_Centre_Multi[[#Headers],[2.5* Max BF]],3)-7)/(-6/159)</calculatedColumnFormula>
    </tableColumn>
    <tableColumn id="72" xr3:uid="{A5456634-EBBD-4BD1-BDF3-F701A20F2507}" name="2.0* Max BF" dataDxfId="980">
      <calculatedColumnFormula>(LEFT(tbl_Shopping_Centre_Multi[[#Headers],[2.0* Max BF]],3)-7)/(-6/159)</calculatedColumnFormula>
    </tableColumn>
    <tableColumn id="73" xr3:uid="{68F91A74-9092-4D98-81C7-1EB343C68A38}" name="1.5* Max BF" dataDxfId="979">
      <calculatedColumnFormula>(LEFT(tbl_Shopping_Centre_Multi[[#Headers],[1.5* Max BF]],3)-7)/(-6/159)</calculatedColumnFormula>
    </tableColumn>
    <tableColumn id="74" xr3:uid="{4F904142-695B-4FC9-8511-2884EF476689}" name="1.0* Max BF" dataDxfId="978">
      <calculatedColumnFormula>(LEFT(tbl_Shopping_Centre_Multi[[#Headers],[1.0* Max BF]],3)-7)/(-6/159)</calculatedColumnFormula>
    </tableColumn>
    <tableColumn id="134" xr3:uid="{0D0ED842-B89E-476D-9924-2BF2380356D3}" name="0.0* Max BF" dataDxfId="977">
      <calculatedColumnFormula>(LEFT(tbl_Shopping_Centre_Multi[[#Headers],[0.0* Max BF]],3)-7)/(-6/159)</calculatedColumnFormula>
    </tableColumn>
    <tableColumn id="75" xr3:uid="{753E40A0-156F-4756-9B55-F672967E94A8}" name="6.0* Max e" dataDxfId="976">
      <calculatedColumnFormula>tbl_Shopping_Centre_Multi[[#This Row],[6.0* Max BF]]/100*IF(tbl_Shopping_Centre_Multi[[Small]:[Small]],tbl_Shopping_Centre_Multi[[ersmall]:[ersmall]],tbl_Shopping_Centre_Multi[[er]:[er]])</calculatedColumnFormula>
    </tableColumn>
    <tableColumn id="76" xr3:uid="{7FA192E3-9801-4151-91EB-CD90B69591B6}" name="5.5* Max e" dataDxfId="975">
      <calculatedColumnFormula>tbl_Shopping_Centre_Multi[[#This Row],[5.5* Max BF]]/100*IF(tbl_Shopping_Centre_Multi[[Small]:[Small]],tbl_Shopping_Centre_Multi[[ersmall]:[ersmall]],tbl_Shopping_Centre_Multi[[er]:[er]])</calculatedColumnFormula>
    </tableColumn>
    <tableColumn id="77" xr3:uid="{750BC886-4827-4C46-B3E7-52BCA19D208E}" name="5.0* Max e" dataDxfId="974">
      <calculatedColumnFormula>tbl_Shopping_Centre_Multi[[#This Row],[5.0* Max BF]]/100*IF(tbl_Shopping_Centre_Multi[[Small]:[Small]],tbl_Shopping_Centre_Multi[[ersmall]:[ersmall]],tbl_Shopping_Centre_Multi[[er]:[er]])</calculatedColumnFormula>
    </tableColumn>
    <tableColumn id="78" xr3:uid="{82DBAF87-39E2-44BC-AF63-434BB72884C7}" name="4.5* Max e" dataDxfId="973">
      <calculatedColumnFormula>tbl_Shopping_Centre_Multi[[#This Row],[4.5* Max BF]]/100*IF(tbl_Shopping_Centre_Multi[[Small]:[Small]],tbl_Shopping_Centre_Multi[[ersmall]:[ersmall]],tbl_Shopping_Centre_Multi[[er]:[er]])</calculatedColumnFormula>
    </tableColumn>
    <tableColumn id="79" xr3:uid="{FE9FED67-EB15-4DF3-B9A2-3719096F7324}" name="4.0* Max e" dataDxfId="972">
      <calculatedColumnFormula>tbl_Shopping_Centre_Multi[[#This Row],[4.0* Max BF]]/100*IF(tbl_Shopping_Centre_Multi[[Small]:[Small]],tbl_Shopping_Centre_Multi[[ersmall]:[ersmall]],tbl_Shopping_Centre_Multi[[er]:[er]])</calculatedColumnFormula>
    </tableColumn>
    <tableColumn id="80" xr3:uid="{2436361E-CD0D-4E81-B560-30B3F7BF61D8}" name="3.5* Max e" dataDxfId="971">
      <calculatedColumnFormula>tbl_Shopping_Centre_Multi[[#This Row],[3.5* Max BF]]/100*IF(tbl_Shopping_Centre_Multi[[Small]:[Small]],tbl_Shopping_Centre_Multi[[ersmall]:[ersmall]],tbl_Shopping_Centre_Multi[[er]:[er]])</calculatedColumnFormula>
    </tableColumn>
    <tableColumn id="81" xr3:uid="{2B57D49D-7F6F-46C8-B64A-6D33BF0CD4C3}" name="3.0* Max e" dataDxfId="970">
      <calculatedColumnFormula>tbl_Shopping_Centre_Multi[[#This Row],[3.0* Max BF]]/100*IF(tbl_Shopping_Centre_Multi[[Small]:[Small]],tbl_Shopping_Centre_Multi[[ersmall]:[ersmall]],tbl_Shopping_Centre_Multi[[er]:[er]])</calculatedColumnFormula>
    </tableColumn>
    <tableColumn id="82" xr3:uid="{092C44E7-19DD-4ABF-8130-E30ECD901EDC}" name="2.5* Max e" dataDxfId="969">
      <calculatedColumnFormula>tbl_Shopping_Centre_Multi[[#This Row],[2.5* Max BF]]/100*IF(tbl_Shopping_Centre_Multi[[Small]:[Small]],tbl_Shopping_Centre_Multi[[ersmall]:[ersmall]],tbl_Shopping_Centre_Multi[[er]:[er]])</calculatedColumnFormula>
    </tableColumn>
    <tableColumn id="83" xr3:uid="{10DE5E97-CE4E-4D74-BB4C-C9FD47C75671}" name="2.0* Max e" dataDxfId="968">
      <calculatedColumnFormula>tbl_Shopping_Centre_Multi[[#This Row],[2.0* Max BF]]/100*IF(tbl_Shopping_Centre_Multi[[Small]:[Small]],tbl_Shopping_Centre_Multi[[ersmall]:[ersmall]],tbl_Shopping_Centre_Multi[[er]:[er]])</calculatedColumnFormula>
    </tableColumn>
    <tableColumn id="84" xr3:uid="{DA228589-222D-4C49-B4B1-2A95727E1804}" name="1.5* Max e" dataDxfId="967">
      <calculatedColumnFormula>tbl_Shopping_Centre_Multi[[#This Row],[1.5* Max BF]]/100*IF(tbl_Shopping_Centre_Multi[[Small]:[Small]],tbl_Shopping_Centre_Multi[[ersmall]:[ersmall]],tbl_Shopping_Centre_Multi[[er]:[er]])</calculatedColumnFormula>
    </tableColumn>
    <tableColumn id="85" xr3:uid="{65259E1E-DC73-4F26-BE20-EB9198F41E4C}" name="1.0* Max e" dataDxfId="966">
      <calculatedColumnFormula>tbl_Shopping_Centre_Multi[[#This Row],[1.0* Max BF]]/100*IF(tbl_Shopping_Centre_Multi[[Small]:[Small]],tbl_Shopping_Centre_Multi[[ersmall]:[ersmall]],tbl_Shopping_Centre_Multi[[er]:[er]])</calculatedColumnFormula>
    </tableColumn>
    <tableColumn id="133" xr3:uid="{8F4C8023-3A10-4806-BD5E-A59086146F51}" name="0.0* Max e" dataDxfId="965">
      <calculatedColumnFormula>tbl_Shopping_Centre_Multi[[#This Row],[0.0* Max BF]]/100*IF(tbl_Shopping_Centre_Multi[[Small]:[Small]],tbl_Shopping_Centre_Multi[[ersmall]:[ersmall]],tbl_Shopping_Centre_Multi[[er]:[er]])</calculatedColumnFormula>
    </tableColumn>
    <tableColumn id="86" xr3:uid="{A10A6984-BB3C-49BE-B4A7-AF03B30A6D06}" name="6.0* Max CO2" dataDxfId="964">
      <calculatedColumnFormula>tbl_Shopping_Centre_Multi[[#This Row],[6.0* Max e]]*tbl_Shopping_Centre_Multi[[GLAR]:[GLAR]]</calculatedColumnFormula>
    </tableColumn>
    <tableColumn id="87" xr3:uid="{2B831329-7AF3-4202-9156-CD1049A073B2}" name="5.5* Max CO2" dataDxfId="963">
      <calculatedColumnFormula>tbl_Shopping_Centre_Multi[[#This Row],[5.5* Max e]]*tbl_Shopping_Centre_Multi[[GLAR]:[GLAR]]</calculatedColumnFormula>
    </tableColumn>
    <tableColumn id="88" xr3:uid="{E350CD26-32DA-40DE-AA76-1A3631B58B46}" name="5.0* Max CO2" dataDxfId="962">
      <calculatedColumnFormula>tbl_Shopping_Centre_Multi[[#This Row],[5.0* Max e]]*tbl_Shopping_Centre_Multi[[GLAR]:[GLAR]]</calculatedColumnFormula>
    </tableColumn>
    <tableColumn id="89" xr3:uid="{365E1EB5-A6AE-40D4-BFCB-4B4693E490F8}" name="4.5* Max CO2" dataDxfId="961">
      <calculatedColumnFormula>tbl_Shopping_Centre_Multi[[#This Row],[4.5* Max e]]*tbl_Shopping_Centre_Multi[[GLAR]:[GLAR]]</calculatedColumnFormula>
    </tableColumn>
    <tableColumn id="90" xr3:uid="{4A517ABC-2CC4-4B5E-A0CF-B6E8999A3105}" name="4.0* Max CO2" dataDxfId="960">
      <calculatedColumnFormula>tbl_Shopping_Centre_Multi[[#This Row],[4.0* Max e]]*tbl_Shopping_Centre_Multi[[GLAR]:[GLAR]]</calculatedColumnFormula>
    </tableColumn>
    <tableColumn id="91" xr3:uid="{4CDBA3CB-5226-4905-AC21-E0D8A54E5114}" name="3.5* Max CO2" dataDxfId="959">
      <calculatedColumnFormula>tbl_Shopping_Centre_Multi[[#This Row],[3.5* Max e]]*tbl_Shopping_Centre_Multi[[GLAR]:[GLAR]]</calculatedColumnFormula>
    </tableColumn>
    <tableColumn id="92" xr3:uid="{B48A8965-DDC1-4B69-AA5C-21E8C2B9D661}" name="3.0* Max CO2" dataDxfId="958">
      <calculatedColumnFormula>tbl_Shopping_Centre_Multi[[#This Row],[3.0* Max e]]*tbl_Shopping_Centre_Multi[[GLAR]:[GLAR]]</calculatedColumnFormula>
    </tableColumn>
    <tableColumn id="93" xr3:uid="{4E9C90C6-BA8A-4F35-AD3B-47F4B49263E7}" name="2.5* Max CO2" dataDxfId="957">
      <calculatedColumnFormula>tbl_Shopping_Centre_Multi[[#This Row],[2.5* Max e]]*tbl_Shopping_Centre_Multi[[GLAR]:[GLAR]]</calculatedColumnFormula>
    </tableColumn>
    <tableColumn id="94" xr3:uid="{BBB0881C-78D4-4005-B6C2-6E080974B720}" name="2.0* Max CO2" dataDxfId="956">
      <calculatedColumnFormula>tbl_Shopping_Centre_Multi[[#This Row],[2.0* Max e]]*tbl_Shopping_Centre_Multi[[GLAR]:[GLAR]]</calculatedColumnFormula>
    </tableColumn>
    <tableColumn id="95" xr3:uid="{6A8267F7-93C9-4CF4-88B9-E7C9C794EBF7}" name="1.5* Max CO2" dataDxfId="955">
      <calculatedColumnFormula>tbl_Shopping_Centre_Multi[[#This Row],[1.5* Max e]]*tbl_Shopping_Centre_Multi[[GLAR]:[GLAR]]</calculatedColumnFormula>
    </tableColumn>
    <tableColumn id="96" xr3:uid="{C571034E-55B3-4EE4-BEAD-2C14A55FCB37}" name="1.0* Max CO2" dataDxfId="954">
      <calculatedColumnFormula>tbl_Shopping_Centre_Multi[[#This Row],[1.0* Max e]]*tbl_Shopping_Centre_Multi[[GLAR]:[GLAR]]</calculatedColumnFormula>
    </tableColumn>
    <tableColumn id="132" xr3:uid="{C5AD2BAD-5B1D-4A19-AE0E-50501927063B}" name="0.0* Max CO2" dataDxfId="953">
      <calculatedColumnFormula>tbl_Shopping_Centre_Multi[[#This Row],[0.0* Max e]]*tbl_Shopping_Centre_Multi[[GLAR]:[GLAR]]</calculatedColumnFormula>
    </tableColumn>
    <tableColumn id="155" xr3:uid="{93F89E1C-2652-4ABA-AD1D-E96A24DB1451}" name="6.0* Max Energy (MJ)" dataDxfId="952">
      <calculatedColumnFormula>tbl_Shopping_Centre_Multi[[#This Row],[6.0* Max CO2]]/tbl_Shopping_Centre_Multi[[EffGHG]:[EffGHG]]</calculatedColumnFormula>
    </tableColumn>
    <tableColumn id="156" xr3:uid="{40CCB0B8-1520-464D-A852-A01CA2170A2B}" name="5.5* Max Energy (MJ)" dataDxfId="951">
      <calculatedColumnFormula>tbl_Shopping_Centre_Multi[[#This Row],[5.5* Max CO2]]/tbl_Shopping_Centre_Multi[[EffGHG]:[EffGHG]]</calculatedColumnFormula>
    </tableColumn>
    <tableColumn id="157" xr3:uid="{D8D4DFFC-C4F2-4398-A635-E54C979D8C68}" name="5.0* Max Energy (MJ)" dataDxfId="950">
      <calculatedColumnFormula>tbl_Shopping_Centre_Multi[[#This Row],[5.0* Max CO2]]/tbl_Shopping_Centre_Multi[[EffGHG]:[EffGHG]]</calculatedColumnFormula>
    </tableColumn>
    <tableColumn id="158" xr3:uid="{4268CB63-44C2-4C9D-90BD-000EA194B39E}" name="4.5* Max Energy (MJ)" dataDxfId="949">
      <calculatedColumnFormula>tbl_Shopping_Centre_Multi[[#This Row],[4.5* Max CO2]]/tbl_Shopping_Centre_Multi[[EffGHG]:[EffGHG]]</calculatedColumnFormula>
    </tableColumn>
    <tableColumn id="159" xr3:uid="{09D2A856-7642-4DB9-8DE2-58C5A70453B0}" name="4.0* Max Energy (MJ)" dataDxfId="948">
      <calculatedColumnFormula>tbl_Shopping_Centre_Multi[[#This Row],[4.0* Max CO2]]/tbl_Shopping_Centre_Multi[[EffGHG]:[EffGHG]]</calculatedColumnFormula>
    </tableColumn>
    <tableColumn id="160" xr3:uid="{AA64AE25-8B0F-45D1-85CA-70BD5A585793}" name="3.5* Max Energy (MJ)" dataDxfId="947">
      <calculatedColumnFormula>tbl_Shopping_Centre_Multi[[#This Row],[3.5* Max CO2]]/tbl_Shopping_Centre_Multi[[EffGHG]:[EffGHG]]</calculatedColumnFormula>
    </tableColumn>
    <tableColumn id="161" xr3:uid="{16FD48AA-DCDA-4437-A29F-55F5ED664911}" name="3.0* Max Energy (MJ)" dataDxfId="946">
      <calculatedColumnFormula>tbl_Shopping_Centre_Multi[[#This Row],[3.0* Max CO2]]/tbl_Shopping_Centre_Multi[[EffGHG]:[EffGHG]]</calculatedColumnFormula>
    </tableColumn>
    <tableColumn id="162" xr3:uid="{3AA1F4A8-3D7A-480B-991C-7F89D03ABC30}" name="2.5* Max Energy (MJ)" dataDxfId="945">
      <calculatedColumnFormula>tbl_Shopping_Centre_Multi[[#This Row],[2.5* Max CO2]]/tbl_Shopping_Centre_Multi[[EffGHG]:[EffGHG]]</calculatedColumnFormula>
    </tableColumn>
    <tableColumn id="163" xr3:uid="{201EF56A-115E-4D30-B798-110C31FFA508}" name="2.0* Max Energy (MJ)" dataDxfId="944">
      <calculatedColumnFormula>tbl_Shopping_Centre_Multi[[#This Row],[2.0* Max CO2]]/tbl_Shopping_Centre_Multi[[EffGHG]:[EffGHG]]</calculatedColumnFormula>
    </tableColumn>
    <tableColumn id="164" xr3:uid="{CDF87DD1-F9B6-43ED-80B0-D95FDB9727AC}" name="1.5* Max Energy (MJ)" dataDxfId="943">
      <calculatedColumnFormula>tbl_Shopping_Centre_Multi[[#This Row],[1.5* Max CO2]]/tbl_Shopping_Centre_Multi[[EffGHG]:[EffGHG]]</calculatedColumnFormula>
    </tableColumn>
    <tableColumn id="165" xr3:uid="{2BB458EA-EBAE-439D-8F3F-85234209374B}" name="1.0* Max Energy (MJ)" dataDxfId="942">
      <calculatedColumnFormula>tbl_Shopping_Centre_Multi[[#This Row],[1.0* Max CO2]]/tbl_Shopping_Centre_Multi[[EffGHG]:[EffGHG]]</calculatedColumnFormula>
    </tableColumn>
    <tableColumn id="131" xr3:uid="{B41F4BC1-0AA1-4243-955B-011A482757AB}" name="0.0* Max Energy (MJ)" dataDxfId="941">
      <calculatedColumnFormula>tbl_Shopping_Centre_Multi[[#This Row],[0.0* Max CO2]]/tbl_Shopping_Centre_Multi[[EffGHG]:[EffGHG]]</calculatedColumnFormula>
    </tableColumn>
    <tableColumn id="97" xr3:uid="{7BBAB680-761B-41E3-BCA4-0CFEEC7BE55D}" name="6.0* Max Elec (kWh)" dataDxfId="940">
      <calculatedColumnFormula>ROUNDDOWN(tbl_Shopping_Centre_Multi[[#This Row],[6.0* Max Energy (MJ)]]*tbl_Shopping_Centre_Multi[[Electricity (%)]:[Electricity (%)]]/tbl_Shopping_Centre_Multi[[CFelec]:[CFelec]],0)</calculatedColumnFormula>
    </tableColumn>
    <tableColumn id="98" xr3:uid="{452DE2C0-F693-4C83-85BE-A84652E96B5D}" name="5.5* Max Elec (kWh)" dataDxfId="939">
      <calculatedColumnFormula>ROUNDDOWN(tbl_Shopping_Centre_Multi[[#This Row],[5.5* Max Energy (MJ)]]*tbl_Shopping_Centre_Multi[[Electricity (%)]:[Electricity (%)]]/tbl_Shopping_Centre_Multi[[CFelec]:[CFelec]],0)</calculatedColumnFormula>
    </tableColumn>
    <tableColumn id="99" xr3:uid="{0840B9CE-F736-4478-A3FC-60FEA3C44F79}" name="5.0* Max Elec (kWh)" dataDxfId="938">
      <calculatedColumnFormula>ROUNDDOWN(tbl_Shopping_Centre_Multi[[#This Row],[5.0* Max Energy (MJ)]]*tbl_Shopping_Centre_Multi[[Electricity (%)]:[Electricity (%)]]/tbl_Shopping_Centre_Multi[[CFelec]:[CFelec]],0)</calculatedColumnFormula>
    </tableColumn>
    <tableColumn id="100" xr3:uid="{062189BE-B57C-4599-A5C3-629E1C0B306E}" name="4.5* Max Elec (kWh)" dataDxfId="937">
      <calculatedColumnFormula>ROUNDDOWN(tbl_Shopping_Centre_Multi[[#This Row],[4.5* Max Energy (MJ)]]*tbl_Shopping_Centre_Multi[[Electricity (%)]:[Electricity (%)]]/tbl_Shopping_Centre_Multi[[CFelec]:[CFelec]],0)</calculatedColumnFormula>
    </tableColumn>
    <tableColumn id="101" xr3:uid="{56E4CE55-9ECC-4D82-9AFB-9A1F37F00611}" name="4.0* Max Elec (kWh)" dataDxfId="936">
      <calculatedColumnFormula>ROUNDDOWN(tbl_Shopping_Centre_Multi[[#This Row],[4.0* Max Energy (MJ)]]*tbl_Shopping_Centre_Multi[[Electricity (%)]:[Electricity (%)]]/tbl_Shopping_Centre_Multi[[CFelec]:[CFelec]],0)</calculatedColumnFormula>
    </tableColumn>
    <tableColumn id="102" xr3:uid="{06A42A4F-A9E0-4D87-A33C-85AFE2C6FC53}" name="3.5* Max Elec (kWh)" dataDxfId="935">
      <calculatedColumnFormula>ROUNDDOWN(tbl_Shopping_Centre_Multi[[#This Row],[3.5* Max Energy (MJ)]]*tbl_Shopping_Centre_Multi[[Electricity (%)]:[Electricity (%)]]/tbl_Shopping_Centre_Multi[[CFelec]:[CFelec]],0)</calculatedColumnFormula>
    </tableColumn>
    <tableColumn id="103" xr3:uid="{7F1BF888-1A9A-4DE4-8C47-E39DF6EA918E}" name="3.0* Max Elec (kWh)" dataDxfId="934">
      <calculatedColumnFormula>ROUNDDOWN(tbl_Shopping_Centre_Multi[[#This Row],[3.0* Max Energy (MJ)]]*tbl_Shopping_Centre_Multi[[Electricity (%)]:[Electricity (%)]]/tbl_Shopping_Centre_Multi[[CFelec]:[CFelec]],0)</calculatedColumnFormula>
    </tableColumn>
    <tableColumn id="104" xr3:uid="{C3E6CDA4-A573-4AD3-8646-909FFD7802F6}" name="2.5* Max Elec (kWh)" dataDxfId="933">
      <calculatedColumnFormula>ROUNDDOWN(tbl_Shopping_Centre_Multi[[#This Row],[2.5* Max Energy (MJ)]]*tbl_Shopping_Centre_Multi[[Electricity (%)]:[Electricity (%)]]/tbl_Shopping_Centre_Multi[[CFelec]:[CFelec]],0)</calculatedColumnFormula>
    </tableColumn>
    <tableColumn id="105" xr3:uid="{6AC4E3E1-9B51-4507-82BC-A36AF7DCC0C1}" name="2.0* Max Elec (kWh)" dataDxfId="932">
      <calculatedColumnFormula>ROUNDDOWN(tbl_Shopping_Centre_Multi[[#This Row],[2.0* Max Energy (MJ)]]*tbl_Shopping_Centre_Multi[[Electricity (%)]:[Electricity (%)]]/tbl_Shopping_Centre_Multi[[CFelec]:[CFelec]],0)</calculatedColumnFormula>
    </tableColumn>
    <tableColumn id="106" xr3:uid="{2F76071D-9ED3-48E6-AE49-8BCC498E1AF4}" name="1.5* Max Elec (kWh)" dataDxfId="931">
      <calculatedColumnFormula>ROUNDDOWN(tbl_Shopping_Centre_Multi[[#This Row],[1.5* Max Energy (MJ)]]*tbl_Shopping_Centre_Multi[[Electricity (%)]:[Electricity (%)]]/tbl_Shopping_Centre_Multi[[CFelec]:[CFelec]],0)</calculatedColumnFormula>
    </tableColumn>
    <tableColumn id="107" xr3:uid="{B239F9BC-9BEC-4FD9-AD53-24A091D39885}" name="1.0* Max Elec (kWh)" dataDxfId="930">
      <calculatedColumnFormula>ROUNDDOWN(tbl_Shopping_Centre_Multi[[#This Row],[1.0* Max Energy (MJ)]]*tbl_Shopping_Centre_Multi[[Electricity (%)]:[Electricity (%)]]/tbl_Shopping_Centre_Multi[[CFelec]:[CFelec]],0)</calculatedColumnFormula>
    </tableColumn>
    <tableColumn id="130" xr3:uid="{84FC8BBD-4CE9-41F0-BF45-DC7B48BB0CB0}" name="0.0* Max Elec (kWh)" dataDxfId="929">
      <calculatedColumnFormula>ROUNDDOWN(tbl_Shopping_Centre_Multi[[#This Row],[0.0* Max Energy (MJ)]]*tbl_Shopping_Centre_Multi[[Electricity (%)]:[Electricity (%)]]/tbl_Shopping_Centre_Multi[[CFelec]:[CFelec]],0)</calculatedColumnFormula>
    </tableColumn>
    <tableColumn id="108" xr3:uid="{BDEDA1F8-23FF-48DC-BADA-3CC3C0A26063}" name="6.0* Max Gas (MJ)" dataDxfId="928">
      <calculatedColumnFormula>ROUNDDOWN(tbl_Shopping_Centre_Multi[[#This Row],[6.0* Max Energy (MJ)]]*tbl_Shopping_Centre_Multi[[Gas (%)]:[Gas (%)]],0)</calculatedColumnFormula>
    </tableColumn>
    <tableColumn id="109" xr3:uid="{831B90C5-57ED-4739-A18B-4AFD05562D2B}" name="5.5* Max Gas (MJ)" dataDxfId="927">
      <calculatedColumnFormula>ROUNDDOWN(tbl_Shopping_Centre_Multi[[#This Row],[5.5* Max Energy (MJ)]]*tbl_Shopping_Centre_Multi[[Gas (%)]:[Gas (%)]],0)</calculatedColumnFormula>
    </tableColumn>
    <tableColumn id="110" xr3:uid="{B3A6C421-BFE5-4A70-B7F9-A0C13FA236C0}" name="5.0* Max Gas (MJ)" dataDxfId="926">
      <calculatedColumnFormula>ROUNDDOWN(tbl_Shopping_Centre_Multi[[#This Row],[5.0* Max Energy (MJ)]]*tbl_Shopping_Centre_Multi[[Gas (%)]:[Gas (%)]],0)</calculatedColumnFormula>
    </tableColumn>
    <tableColumn id="111" xr3:uid="{4ECEC2D7-B8CB-4FF1-B2C3-B1BFD0401618}" name="4.5* Max Gas (MJ)" dataDxfId="925">
      <calculatedColumnFormula>ROUNDDOWN(tbl_Shopping_Centre_Multi[[#This Row],[4.5* Max Energy (MJ)]]*tbl_Shopping_Centre_Multi[[Gas (%)]:[Gas (%)]],0)</calculatedColumnFormula>
    </tableColumn>
    <tableColumn id="112" xr3:uid="{5D0EF854-0163-4CDE-AD52-8FEFBE3AF91A}" name="4.0* Max Gas (MJ)" dataDxfId="924">
      <calculatedColumnFormula>ROUNDDOWN(tbl_Shopping_Centre_Multi[[#This Row],[4.0* Max Energy (MJ)]]*tbl_Shopping_Centre_Multi[[Gas (%)]:[Gas (%)]],0)</calculatedColumnFormula>
    </tableColumn>
    <tableColumn id="113" xr3:uid="{44392D07-BD96-4C2C-A859-B462F48898C9}" name="3.5* Max Gas (MJ)" dataDxfId="923">
      <calculatedColumnFormula>ROUNDDOWN(tbl_Shopping_Centre_Multi[[#This Row],[3.5* Max Energy (MJ)]]*tbl_Shopping_Centre_Multi[[Gas (%)]:[Gas (%)]],0)</calculatedColumnFormula>
    </tableColumn>
    <tableColumn id="114" xr3:uid="{0C7C2265-1D83-4882-9819-514338715F1A}" name="3.0* Max Gas (MJ)" dataDxfId="922">
      <calculatedColumnFormula>ROUNDDOWN(tbl_Shopping_Centre_Multi[[#This Row],[3.0* Max Energy (MJ)]]*tbl_Shopping_Centre_Multi[[Gas (%)]:[Gas (%)]],0)</calculatedColumnFormula>
    </tableColumn>
    <tableColumn id="115" xr3:uid="{8690A98A-1B59-4788-989A-738AAF444335}" name="2.5* Max Gas (MJ)" dataDxfId="921">
      <calculatedColumnFormula>ROUNDDOWN(tbl_Shopping_Centre_Multi[[#This Row],[2.5* Max Energy (MJ)]]*tbl_Shopping_Centre_Multi[[Gas (%)]:[Gas (%)]],0)</calculatedColumnFormula>
    </tableColumn>
    <tableColumn id="116" xr3:uid="{70F1D552-8262-4294-A0BC-0CEF146DFCE0}" name="2.0* Max Gas (MJ)" dataDxfId="920">
      <calculatedColumnFormula>ROUNDDOWN(tbl_Shopping_Centre_Multi[[#This Row],[2.0* Max Energy (MJ)]]*tbl_Shopping_Centre_Multi[[Gas (%)]:[Gas (%)]],0)</calculatedColumnFormula>
    </tableColumn>
    <tableColumn id="117" xr3:uid="{27959568-E065-4278-AF15-EE1AD1F9BF9C}" name="1.5* Max Gas (MJ)" dataDxfId="919">
      <calculatedColumnFormula>ROUNDDOWN(tbl_Shopping_Centre_Multi[[#This Row],[1.5* Max Energy (MJ)]]*tbl_Shopping_Centre_Multi[[Gas (%)]:[Gas (%)]],0)</calculatedColumnFormula>
    </tableColumn>
    <tableColumn id="118" xr3:uid="{9F2732F6-3303-4A0D-9055-084A59414E69}" name="1.0* Max Gas (MJ)" dataDxfId="918">
      <calculatedColumnFormula>ROUNDDOWN(tbl_Shopping_Centre_Multi[[#This Row],[1.0* Max Energy (MJ)]]*tbl_Shopping_Centre_Multi[[Gas (%)]:[Gas (%)]],0)</calculatedColumnFormula>
    </tableColumn>
    <tableColumn id="50" xr3:uid="{7CC197EC-F04D-4BD1-84CE-FDB3B93BB576}" name="0.0* Max Gas (MJ)" dataDxfId="917">
      <calculatedColumnFormula>ROUNDDOWN(tbl_Shopping_Centre_Multi[[#This Row],[0.0* Max Energy (MJ)]]*tbl_Shopping_Centre_Multi[[Gas (%)]:[Gas (%)]],0)</calculatedColumnFormula>
    </tableColumn>
    <tableColumn id="119" xr3:uid="{DDBB9178-8F7D-40D3-835A-CEBC5A78C3D6}" name="6.0* Max Diesel (L)" dataDxfId="916">
      <calculatedColumnFormula>ROUNDDOWN(tbl_Shopping_Centre_Multi[[#This Row],[6.0* Max Energy (MJ)]]*tbl_Shopping_Centre_Multi[[Diesel (%)]:[Diesel (%)]]/tbl_Shopping_Centre_Multi[[CFdiesel]:[CFdiesel]],0)</calculatedColumnFormula>
    </tableColumn>
    <tableColumn id="120" xr3:uid="{5F2C0CB7-1FAC-4DD4-92E5-98A9FD4FF57A}" name="5.5* Max Diesel (L)" dataDxfId="915">
      <calculatedColumnFormula>ROUNDDOWN(tbl_Shopping_Centre_Multi[[#This Row],[5.5* Max Energy (MJ)]]*tbl_Shopping_Centre_Multi[[Diesel (%)]:[Diesel (%)]]/tbl_Shopping_Centre_Multi[[CFdiesel]:[CFdiesel]],0)</calculatedColumnFormula>
    </tableColumn>
    <tableColumn id="121" xr3:uid="{A622B0A6-EA54-4936-9CC1-00BCEC5655EE}" name="5.0* Max Diesel (L)" dataDxfId="914">
      <calculatedColumnFormula>ROUNDDOWN(tbl_Shopping_Centre_Multi[[#This Row],[5.0* Max Energy (MJ)]]*tbl_Shopping_Centre_Multi[[Diesel (%)]:[Diesel (%)]]/tbl_Shopping_Centre_Multi[[CFdiesel]:[CFdiesel]],0)</calculatedColumnFormula>
    </tableColumn>
    <tableColumn id="122" xr3:uid="{32AEA3ED-DB22-4DE3-88CC-E1522C1E1065}" name="4.5* Max Diesel (L)" dataDxfId="913">
      <calculatedColumnFormula>ROUNDDOWN(tbl_Shopping_Centre_Multi[[#This Row],[4.5* Max Energy (MJ)]]*tbl_Shopping_Centre_Multi[[Diesel (%)]:[Diesel (%)]]/tbl_Shopping_Centre_Multi[[CFdiesel]:[CFdiesel]],0)</calculatedColumnFormula>
    </tableColumn>
    <tableColumn id="123" xr3:uid="{3C8913B7-1799-4EAD-B3BE-DF45D994C801}" name="4.0* Max Diesel (L)" dataDxfId="912">
      <calculatedColumnFormula>ROUNDDOWN(tbl_Shopping_Centre_Multi[[#This Row],[4.0* Max Energy (MJ)]]*tbl_Shopping_Centre_Multi[[Diesel (%)]:[Diesel (%)]]/tbl_Shopping_Centre_Multi[[CFdiesel]:[CFdiesel]],0)</calculatedColumnFormula>
    </tableColumn>
    <tableColumn id="124" xr3:uid="{84516B27-A1A1-4F5D-AFFC-8216330EF072}" name="3.5* Max Diesel (L)" dataDxfId="911">
      <calculatedColumnFormula>ROUNDDOWN(tbl_Shopping_Centre_Multi[[#This Row],[3.5* Max Energy (MJ)]]*tbl_Shopping_Centre_Multi[[Diesel (%)]:[Diesel (%)]]/tbl_Shopping_Centre_Multi[[CFdiesel]:[CFdiesel]],0)</calculatedColumnFormula>
    </tableColumn>
    <tableColumn id="125" xr3:uid="{4A64C006-CE30-485A-A05D-BE8A04DDA930}" name="3.0* Max Diesel (L)" dataDxfId="910">
      <calculatedColumnFormula>ROUNDDOWN(tbl_Shopping_Centre_Multi[[#This Row],[3.0* Max Energy (MJ)]]*tbl_Shopping_Centre_Multi[[Diesel (%)]:[Diesel (%)]]/tbl_Shopping_Centre_Multi[[CFdiesel]:[CFdiesel]],0)</calculatedColumnFormula>
    </tableColumn>
    <tableColumn id="126" xr3:uid="{5C2B239B-1BA0-4F89-87AD-E0330891B269}" name="2.5* Max Diesel (L)" dataDxfId="909">
      <calculatedColumnFormula>ROUNDDOWN(tbl_Shopping_Centre_Multi[[#This Row],[2.5* Max Energy (MJ)]]*tbl_Shopping_Centre_Multi[[Diesel (%)]:[Diesel (%)]]/tbl_Shopping_Centre_Multi[[CFdiesel]:[CFdiesel]],0)</calculatedColumnFormula>
    </tableColumn>
    <tableColumn id="127" xr3:uid="{09BFEB43-6FDD-4E38-AD87-6A5BF05CEE3E}" name="2.0* Max Diesel (L)" dataDxfId="908">
      <calculatedColumnFormula>ROUNDDOWN(tbl_Shopping_Centre_Multi[[#This Row],[2.0* Max Energy (MJ)]]*tbl_Shopping_Centre_Multi[[Diesel (%)]:[Diesel (%)]]/tbl_Shopping_Centre_Multi[[CFdiesel]:[CFdiesel]],0)</calculatedColumnFormula>
    </tableColumn>
    <tableColumn id="128" xr3:uid="{36D1A40B-A418-475D-B98D-CC36F108A0A2}" name="1.5* Max Diesel (L)" dataDxfId="907">
      <calculatedColumnFormula>ROUNDDOWN(tbl_Shopping_Centre_Multi[[#This Row],[1.5* Max Energy (MJ)]]*tbl_Shopping_Centre_Multi[[Diesel (%)]:[Diesel (%)]]/tbl_Shopping_Centre_Multi[[CFdiesel]:[CFdiesel]],0)</calculatedColumnFormula>
    </tableColumn>
    <tableColumn id="129" xr3:uid="{737471CA-0725-4FD0-A748-9F2EFDBB1458}" name="1.0* Max Diesel (L)" dataDxfId="906">
      <calculatedColumnFormula>ROUNDDOWN(tbl_Shopping_Centre_Multi[[#This Row],[1.0* Max Energy (MJ)]]*tbl_Shopping_Centre_Multi[[Diesel (%)]:[Diesel (%)]]/tbl_Shopping_Centre_Multi[[CFdiesel]:[CFdiesel]],0)</calculatedColumnFormula>
    </tableColumn>
    <tableColumn id="47" xr3:uid="{CD475F69-7DFA-4200-B760-62FEC3A11EF1}" name="0.0* Max Diesel (L)" dataDxfId="905">
      <calculatedColumnFormula>ROUNDDOWN(tbl_Shopping_Centre_Multi[[#This Row],[0.0* Max Energy (MJ)]]*tbl_Shopping_Centre_Multi[[Diesel (%)]:[Diesel (%)]]/tbl_Shopping_Centre_Multi[[CFdiesel]:[CFdiesel]],0)</calculatedColumnFormula>
    </tableColumn>
    <tableColumn id="193" xr3:uid="{3C1FD66D-02EA-431B-A7C8-F3066D845559}" name="6.0* Max Water (kL)" dataDxfId="904">
      <calculatedColumnFormula>ROUNDDOWN(tbl_Shopping_Centre_Multi[[#This Row],[6.0* Max BF]]/100*IF(tbl_Shopping_Centre_Multi[[Small]:[Small]],tbl_Shopping_Centre_Multi[[wrsmall]:[wrsmall]],tbl_Shopping_Centre_Multi[[wr]:[wr]])*tbl_Shopping_Centre_Multi[[GLAR]:[GLAR]],0)</calculatedColumnFormula>
    </tableColumn>
    <tableColumn id="194" xr3:uid="{CE043542-4F87-4181-B9D0-5AF8145ADA2A}" name="5.5* Max Water (kL)" dataDxfId="903">
      <calculatedColumnFormula>ROUNDDOWN(tbl_Shopping_Centre_Multi[[#This Row],[5.5* Max BF]]/100*IF(tbl_Shopping_Centre_Multi[[Small]:[Small]],tbl_Shopping_Centre_Multi[[wrsmall]:[wrsmall]],tbl_Shopping_Centre_Multi[[wr]:[wr]])*tbl_Shopping_Centre_Multi[[GLAR]:[GLAR]],0)</calculatedColumnFormula>
    </tableColumn>
    <tableColumn id="195" xr3:uid="{900836B1-5B87-4B0D-AA83-431965AD4255}" name="5.0* Max Water (kL)" dataDxfId="902">
      <calculatedColumnFormula>ROUNDDOWN(tbl_Shopping_Centre_Multi[[#This Row],[5.0* Max BF]]/100*IF(tbl_Shopping_Centre_Multi[[Small]:[Small]],tbl_Shopping_Centre_Multi[[wrsmall]:[wrsmall]],tbl_Shopping_Centre_Multi[[wr]:[wr]])*tbl_Shopping_Centre_Multi[[GLAR]:[GLAR]],0)</calculatedColumnFormula>
    </tableColumn>
    <tableColumn id="196" xr3:uid="{692CD2A4-BDC6-4C82-A95A-1147B4EC3E0F}" name="4.5* Max Water (kL)" dataDxfId="901">
      <calculatedColumnFormula>ROUNDDOWN(tbl_Shopping_Centre_Multi[[#This Row],[4.5* Max BF]]/100*IF(tbl_Shopping_Centre_Multi[[Small]:[Small]],tbl_Shopping_Centre_Multi[[wrsmall]:[wrsmall]],tbl_Shopping_Centre_Multi[[wr]:[wr]])*tbl_Shopping_Centre_Multi[[GLAR]:[GLAR]],0)</calculatedColumnFormula>
    </tableColumn>
    <tableColumn id="197" xr3:uid="{4C3741DB-E06F-490E-828C-157DA8E14AB5}" name="4.0* Max Water (kL)" dataDxfId="900">
      <calculatedColumnFormula>ROUNDDOWN(tbl_Shopping_Centre_Multi[[#This Row],[4.0* Max BF]]/100*IF(tbl_Shopping_Centre_Multi[[Small]:[Small]],tbl_Shopping_Centre_Multi[[wrsmall]:[wrsmall]],tbl_Shopping_Centre_Multi[[wr]:[wr]])*tbl_Shopping_Centre_Multi[[GLAR]:[GLAR]],0)</calculatedColumnFormula>
    </tableColumn>
    <tableColumn id="198" xr3:uid="{7AF52A9C-0A44-4F59-A572-DE97D446C25B}" name="3.5* Max Water (kL)" dataDxfId="899">
      <calculatedColumnFormula>ROUNDDOWN(tbl_Shopping_Centre_Multi[[#This Row],[3.5* Max BF]]/100*IF(tbl_Shopping_Centre_Multi[[Small]:[Small]],tbl_Shopping_Centre_Multi[[wrsmall]:[wrsmall]],tbl_Shopping_Centre_Multi[[wr]:[wr]])*tbl_Shopping_Centre_Multi[[GLAR]:[GLAR]],0)</calculatedColumnFormula>
    </tableColumn>
    <tableColumn id="199" xr3:uid="{AF9D65CB-4ADE-4EA5-B6D8-63416E9DFE4D}" name="3.0* Max Water (kL)" dataDxfId="898">
      <calculatedColumnFormula>ROUNDDOWN(tbl_Shopping_Centre_Multi[[#This Row],[3.0* Max BF]]/100*IF(tbl_Shopping_Centre_Multi[[Small]:[Small]],tbl_Shopping_Centre_Multi[[wrsmall]:[wrsmall]],tbl_Shopping_Centre_Multi[[wr]:[wr]])*tbl_Shopping_Centre_Multi[[GLAR]:[GLAR]],0)</calculatedColumnFormula>
    </tableColumn>
    <tableColumn id="200" xr3:uid="{CB0A387A-4EB1-44F8-A35D-B9C7E15BF892}" name="2.5* Max Water (kL)" dataDxfId="897">
      <calculatedColumnFormula>ROUNDDOWN(tbl_Shopping_Centre_Multi[[#This Row],[2.5* Max BF]]/100*IF(tbl_Shopping_Centre_Multi[[Small]:[Small]],tbl_Shopping_Centre_Multi[[wrsmall]:[wrsmall]],tbl_Shopping_Centre_Multi[[wr]:[wr]])*tbl_Shopping_Centre_Multi[[GLAR]:[GLAR]],0)</calculatedColumnFormula>
    </tableColumn>
    <tableColumn id="201" xr3:uid="{16F56BBA-A753-4B16-ADF3-56B96338F00B}" name="2.0* Max Water (kL)" dataDxfId="896">
      <calculatedColumnFormula>ROUNDDOWN(tbl_Shopping_Centre_Multi[[#This Row],[2.0* Max BF]]/100*IF(tbl_Shopping_Centre_Multi[[Small]:[Small]],tbl_Shopping_Centre_Multi[[wrsmall]:[wrsmall]],tbl_Shopping_Centre_Multi[[wr]:[wr]])*tbl_Shopping_Centre_Multi[[GLAR]:[GLAR]],0)</calculatedColumnFormula>
    </tableColumn>
    <tableColumn id="202" xr3:uid="{15BDB7E7-3E33-4A50-8F6E-524C78BD69CD}" name="1.5* Max Water (kL)" dataDxfId="895">
      <calculatedColumnFormula>ROUNDDOWN(tbl_Shopping_Centre_Multi[[#This Row],[1.5* Max BF]]/100*IF(tbl_Shopping_Centre_Multi[[Small]:[Small]],tbl_Shopping_Centre_Multi[[wrsmall]:[wrsmall]],tbl_Shopping_Centre_Multi[[wr]:[wr]])*tbl_Shopping_Centre_Multi[[GLAR]:[GLAR]],0)</calculatedColumnFormula>
    </tableColumn>
    <tableColumn id="203" xr3:uid="{2DFEC985-C845-4746-BA42-2A6B2506D090}" name="1.0* Max Water (kL)" dataDxfId="894">
      <calculatedColumnFormula>ROUNDDOWN(tbl_Shopping_Centre_Multi[[#This Row],[1.0* Max BF]]/100*IF(tbl_Shopping_Centre_Multi[[Small]:[Small]],tbl_Shopping_Centre_Multi[[wrsmall]:[wrsmall]],tbl_Shopping_Centre_Multi[[wr]:[wr]])*tbl_Shopping_Centre_Multi[[GLAR]:[GLAR]],0)</calculatedColumnFormula>
    </tableColumn>
    <tableColumn id="16" xr3:uid="{AFD792DA-09D4-497F-AAF7-C0B9B0183BDF}" name="0.0* Max Water (kL)" dataDxfId="893">
      <calculatedColumnFormula>ROUNDDOWN(tbl_Shopping_Centre_Multi[[#This Row],[0.0* Max BF]]/100*IF(tbl_Shopping_Centre_Multi[[Small]:[Small]],tbl_Shopping_Centre_Multi[[wrsmall]:[wrsmall]],tbl_Shopping_Centre_Multi[[wr]:[wr]])*tbl_Shopping_Centre_Multi[[GLAR]:[GLAR]],0)</calculatedColumnFormula>
    </tableColumn>
    <tableColumn id="171" xr3:uid="{B0C310A5-4031-435C-84F1-7FC3C3D93FA8}" name="FWD Scope 1,2&amp;3" dataDxfId="892">
      <calculatedColumnFormula>SUM(tbl_Shopping_Centre_Multi[[#This Row],[Electricity]]*(1-tbl_Shopping_Centre_Multi[[#This Row],[GP]])*tbl_Shopping_Centre_Multi[[#This Row],[SGEe Scopes 1,2&amp;3]],
tbl_Shopping_Centre_Multi[[#This Row],[Gas]]*tbl_Shopping_Centre_Multi[[#This Row],[SGEg Scopes 1,2&amp;3]],
tbl_Shopping_Centre_Multi[[#This Row],[Diesel]]*tbl_Shopping_Centre_Multi[[#This Row],[SGEd Scopes 1,2&amp;3]])</calculatedColumnFormula>
    </tableColumn>
    <tableColumn id="173" xr3:uid="{A915781A-B9F3-4673-A180-8953A269F79F}" name="FWD Scope 1&amp;2" dataDxfId="891">
      <calculatedColumnFormula>SUM(tbl_Shopping_Centre_Multi[[#This Row],[Electricity]]*(1-tbl_Shopping_Centre_Multi[[#This Row],[GP]])*tbl_Shopping_Centre_Multi[[#This Row],[SGEe Scopes 1&amp;2]],
tbl_Shopping_Centre_Multi[[#This Row],[Gas]]*tbl_Shopping_Centre_Multi[[#This Row],[SGEg Scopes 1&amp;2]],
tbl_Shopping_Centre_Multi[[#This Row],[Diesel]]*tbl_Shopping_Centre_Multi[[#This Row],[SGEd Scopes 1&amp;2]])</calculatedColumnFormula>
    </tableColumn>
    <tableColumn id="220" xr3:uid="{D34990E5-AB7A-41EF-9020-297E8490CABF}" name="Energy Star (with GP)" dataDxfId="890">
      <calculatedColumnFormula>IF(tbl_Shopping_Centre_Multi[[#This Row],[Energy Star Decimal (with GP)]]&lt;1,1,MIN(ROUNDDOWN(tbl_Shopping_Centre_Multi[[#This Row],[Energy Star Decimal (with GP)]]*2,0)/2,6))</calculatedColumnFormula>
    </tableColumn>
    <tableColumn id="221" xr3:uid="{A3CD792F-887C-4F22-8F8C-2E18A3FE778E}" name="Energy Star Decimal (with GP)" dataDxfId="889">
      <calculatedColumnFormula>((tbl_Shopping_Centre_Multi[[#This Row],[e-BF (with GP)]]*(-6/159)+7)*2)/2</calculatedColumnFormula>
    </tableColumn>
    <tableColumn id="48" xr3:uid="{EA509F26-6135-45DF-933B-8D877172A6A9}" name="Energy Star (no GP)" dataDxfId="888">
      <calculatedColumnFormula>IF(tbl_Shopping_Centre_Multi[[#This Row],[Energy Star Decimal (no GP)]]&lt;1,1,MIN(ROUNDDOWN(tbl_Shopping_Centre_Multi[[#This Row],[Energy Star Decimal (no GP)]]*2,0)/2,6))</calculatedColumnFormula>
    </tableColumn>
    <tableColumn id="49" xr3:uid="{A62EC70E-8D0D-4384-9CBF-C45E8ACC40CB}" name="Energy Star Decimal (no GP)" dataDxfId="887">
      <calculatedColumnFormula>((tbl_Shopping_Centre_Multi[[#This Row],[e-BF (no GP)]]*(-6/159)+7)*2)/2</calculatedColumnFormula>
    </tableColumn>
    <tableColumn id="176" xr3:uid="{E33091E2-EE72-497A-9461-17FCBF41653E}" name="e (with GP)" dataDxfId="886">
      <calculatedColumnFormula>SUM(tbl_Shopping_Centre_Multi[[#This Row],[Electricity]]*(1-tbl_Shopping_Centre_Multi[[#This Row],[GP]])*tbl_Shopping_Centre_Multi[[#This Row],[SGEe]],
tbl_Shopping_Centre_Multi[[#This Row],[Gas]]*tbl_Shopping_Centre_Multi[[#This Row],[SGEg]],
tbl_Shopping_Centre_Multi[[#This Row],[Diesel]]*tbl_Shopping_Centre_Multi[[#This Row],[SGEd]])
/tbl_Shopping_Centre_Multi[[#This Row],[GLAR]]</calculatedColumnFormula>
    </tableColumn>
    <tableColumn id="45" xr3:uid="{F89672C2-9AE7-4DF3-9ECF-E03E776DCF63}" name="e (no GP)" dataDxfId="885">
      <calculatedColumnFormula>SUM(tbl_Shopping_Centre_Multi[[#This Row],[Electricity]]*tbl_Shopping_Centre_Multi[[#This Row],[SGEe]],
tbl_Shopping_Centre_Multi[[#This Row],[Gas]]*tbl_Shopping_Centre_Multi[[#This Row],[SGEg]],
tbl_Shopping_Centre_Multi[[#This Row],[Diesel]]*tbl_Shopping_Centre_Multi[[#This Row],[SGEd]])
/tbl_Shopping_Centre_Multi[[#This Row],[GLAR]]</calculatedColumnFormula>
    </tableColumn>
    <tableColumn id="174" xr3:uid="{2CAAF54A-6921-4417-8434-E66F8CBBEA54}" name="e-BF (with GP)" dataDxfId="884">
      <calculatedColumnFormula>tbl_Shopping_Centre_Multi[[#This Row],[e (with GP)]]/IF(tbl_Shopping_Centre_Multi[[#This Row],[Small]]=TRUE,tbl_Shopping_Centre_Multi[[#This Row],[ersmall]],tbl_Shopping_Centre_Multi[[#This Row],[er]])*100</calculatedColumnFormula>
    </tableColumn>
    <tableColumn id="46" xr3:uid="{DC154AF6-C192-4FEE-8F8A-4C9BF458F3F4}" name="e-BF (no GP)" dataDxfId="883">
      <calculatedColumnFormula>tbl_Shopping_Centre_Multi[[#This Row],[e (no GP)]]/IF(tbl_Shopping_Centre_Multi[[#This Row],[Small]]=TRUE,tbl_Shopping_Centre_Multi[[#This Row],[ersmall]],tbl_Shopping_Centre_Multi[[#This Row],[er]])*100</calculatedColumnFormula>
    </tableColumn>
    <tableColumn id="189" xr3:uid="{95D18E56-E03D-4591-A27D-A91BC194BA52}" name="Water Star (with recyc)" dataDxfId="882">
      <calculatedColumnFormula>IF(tbl_Shopping_Centre_Multi[[#This Row],[Water Star Decimal (with recyc)]]&lt;1,1,MIN(ROUNDDOWN(tbl_Shopping_Centre_Multi[[#This Row],[Water Star Decimal (with recyc)]]*2,0)/2,6))</calculatedColumnFormula>
    </tableColumn>
    <tableColumn id="190" xr3:uid="{DCA358EE-7D9F-4374-B541-E6B821A3B1E4}" name="Water Star Decimal (with recyc)" dataDxfId="881">
      <calculatedColumnFormula>((tbl_Shopping_Centre_Multi[[#This Row],[w-BF (with recyc)]]*(-6/159)+7)*2)/2</calculatedColumnFormula>
    </tableColumn>
    <tableColumn id="178" xr3:uid="{44FE3DA4-9433-4ADC-99F8-94B2FDECF97F}" name="Water Star (no recyc)" dataDxfId="880">
      <calculatedColumnFormula>IF(tbl_Shopping_Centre_Multi[[#This Row],[Water Star Decimal (no recyc)]]&lt;1,1,MIN(ROUNDDOWN(tbl_Shopping_Centre_Multi[[#This Row],[Water Star Decimal (no recyc)]]*2,0)/2,6))</calculatedColumnFormula>
    </tableColumn>
    <tableColumn id="179" xr3:uid="{633EB7EB-076A-4ABF-9832-E6C0805E1377}" name="Water Star Decimal (no recyc)" dataDxfId="879">
      <calculatedColumnFormula>((tbl_Shopping_Centre_Multi[[#This Row],[w-BF (no recyc)]]*(-6/159)+7)*2)/2</calculatedColumnFormula>
    </tableColumn>
    <tableColumn id="51" xr3:uid="{1E585F55-6836-4EA6-82B5-3391AFF6214B}" name="w (with recyc)" dataDxfId="878">
      <calculatedColumnFormula>tbl_Shopping_Centre_Multi[[#This Row],[Water]]*(1-tbl_Shopping_Centre_Multi[[#This Row],[RW]])/tbl_Shopping_Centre_Multi[[#This Row],[GLAR]]</calculatedColumnFormula>
    </tableColumn>
    <tableColumn id="177" xr3:uid="{AE298100-47A3-44E6-84A7-EDC4C1CC0B9B}" name="w (no recyc)" dataDxfId="877">
      <calculatedColumnFormula>tbl_Shopping_Centre_Multi[[#This Row],[Water]]/tbl_Shopping_Centre_Multi[[#This Row],[GLAR]]</calculatedColumnFormula>
    </tableColumn>
    <tableColumn id="187" xr3:uid="{3CDD4632-8608-4A8F-8E3F-5377A6CC6DC1}" name="w-BF (with recyc)" dataDxfId="876">
      <calculatedColumnFormula>tbl_Shopping_Centre_Multi[[#This Row],[w (with recyc)]]/IF(tbl_Shopping_Centre_Multi[[#This Row],[Small]]=TRUE,tbl_Shopping_Centre_Multi[[#This Row],[wrsmall]],tbl_Shopping_Centre_Multi[[#This Row],[wr]])*100</calculatedColumnFormula>
    </tableColumn>
    <tableColumn id="180" xr3:uid="{FF872DBA-033F-4BB6-8E37-82E548D8DB5E}" name="w-BF (no recyc)" dataDxfId="875">
      <calculatedColumnFormula>tbl_Shopping_Centre_Multi[[#This Row],[w (no recyc)]]/IF(tbl_Shopping_Centre_Multi[[#This Row],[Small]]=TRUE,tbl_Shopping_Centre_Multi[[#This Row],[wrsmall]],tbl_Shopping_Centre_Multi[[#This Row],[wr]])*100</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7BD61AD-9B02-4443-8AE8-CC19646F586B}" name="tbl_SGE_SC_2012" displayName="tbl_SGE_SC_2012" ref="A130:E138" totalsRowShown="0" headerRowDxfId="874" dataDxfId="873" tableBorderDxfId="872" headerRowCellStyle="Normal 2" dataCellStyle="Normal 2">
  <autoFilter ref="A130:E138" xr:uid="{D7BD61AD-9B02-4443-8AE8-CC19646F586B}"/>
  <tableColumns count="5">
    <tableColumn id="1" xr3:uid="{E53A4B7C-E1F1-428A-A7EA-31BDEFBD8AB0}" name="State" dataDxfId="871" dataCellStyle="Normal 2"/>
    <tableColumn id="2" xr3:uid="{EB472378-64C9-43D6-AC38-9EB87A34870E}" name="SGEe2012" dataDxfId="870" dataCellStyle="Normal 2"/>
    <tableColumn id="3" xr3:uid="{2919FAB8-27D2-4617-890B-505211476AA1}" name="SGEg2012" dataDxfId="869" dataCellStyle="Normal 2"/>
    <tableColumn id="4" xr3:uid="{69BABB0E-44BC-49BF-B3F0-D5EE254CF9F1}" name="SGEd2012" dataDxfId="868" dataCellStyle="Normal 2"/>
    <tableColumn id="5" xr3:uid="{E99F4058-1A72-48C0-BD6F-719646F27C0C}" name="SGEc2012" dataDxfId="867"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873D655-3843-45C2-986F-60EA4DB5B1FE}" name="tbl_SGE_2020" displayName="tbl_SGE_2020" ref="A8:F16" totalsRowShown="0" headerRowDxfId="866" dataDxfId="865" tableBorderDxfId="864" headerRowCellStyle="Normal 2" dataCellStyle="Normal 5">
  <autoFilter ref="A8:F16" xr:uid="{9873D655-3843-45C2-986F-60EA4DB5B1FE}"/>
  <tableColumns count="6">
    <tableColumn id="1" xr3:uid="{95AF76FC-49CC-46A7-8D87-13DF4B516888}" name="State" dataDxfId="863" dataCellStyle="Normal 5"/>
    <tableColumn id="2" xr3:uid="{AE3E0687-21AD-4A68-AD1B-FB72109D4980}" name="SGEe" dataDxfId="862" dataCellStyle="Normal 5"/>
    <tableColumn id="3" xr3:uid="{20BEA0FC-5C5D-408C-9AC8-8BC5E9192329}" name="SGEg" dataDxfId="861" dataCellStyle="Normal 5"/>
    <tableColumn id="4" xr3:uid="{77D96E86-0C09-48DB-BDA2-249BB94C4140}" name="SGEd" dataDxfId="860" dataCellStyle="Normal 5"/>
    <tableColumn id="5" xr3:uid="{9720EAB3-BEAA-48AE-A2EA-A5BB3943BBF5}" name="SGEc" dataDxfId="859" dataCellStyle="Normal 2"/>
    <tableColumn id="6" xr3:uid="{DDBD00A0-6E7B-4694-8935-AF890DCDFF3E}" name="SGEl" dataDxfId="858" dataCellStyle="Normal 5 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6470EA5-36FE-4684-B044-0F20569C9A71}" name="tbl_Conversion_Factors" displayName="tbl_Conversion_Factors" ref="M20:P24" totalsRowShown="0" headerRowDxfId="857" dataDxfId="856" headerRowCellStyle="Normal 2" dataCellStyle="Normal 2">
  <autoFilter ref="M20:P24" xr:uid="{56470EA5-36FE-4684-B044-0F20569C9A71}"/>
  <tableColumns count="4">
    <tableColumn id="1" xr3:uid="{3C7202BA-D9E7-453F-A82F-BA892F99046E}" name="Fuel" dataDxfId="855" dataCellStyle="Normal 2"/>
    <tableColumn id="4" xr3:uid="{6950D00B-1239-4068-93C5-73149965F4C1}" name="Reference" dataDxfId="854" dataCellStyle="Normal 2"/>
    <tableColumn id="2" xr3:uid="{8650424F-E362-4D12-A17C-69D8DFEF1859}" name="Conversion Factors" dataDxfId="853" dataCellStyle="Normal 2"/>
    <tableColumn id="3" xr3:uid="{39C351A6-A0C1-46DE-9900-97AB5E5C75EF}" name="Units" dataDxfId="852"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table" Target="../tables/table7.xml"/><Relationship Id="rId1" Type="http://schemas.openxmlformats.org/officeDocument/2006/relationships/vmlDrawing" Target="../drawings/vmlDrawing7.vml"/><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29.xml"/><Relationship Id="rId3" Type="http://schemas.openxmlformats.org/officeDocument/2006/relationships/table" Target="../tables/table24.xml"/><Relationship Id="rId7" Type="http://schemas.openxmlformats.org/officeDocument/2006/relationships/table" Target="../tables/table28.xml"/><Relationship Id="rId2" Type="http://schemas.openxmlformats.org/officeDocument/2006/relationships/table" Target="../tables/table23.xml"/><Relationship Id="rId1" Type="http://schemas.openxmlformats.org/officeDocument/2006/relationships/printerSettings" Target="../printerSettings/printerSettings21.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0" Type="http://schemas.openxmlformats.org/officeDocument/2006/relationships/table" Target="../tables/table31.xml"/><Relationship Id="rId4" Type="http://schemas.openxmlformats.org/officeDocument/2006/relationships/table" Target="../tables/table25.xml"/><Relationship Id="rId9" Type="http://schemas.openxmlformats.org/officeDocument/2006/relationships/table" Target="../tables/table3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table" Target="../tables/table3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naboltest-naboltest.cs74.force.com/community/s/login/"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B4FE-AFBC-49F3-A699-3C368D484172}">
  <sheetPr codeName="Sheet5">
    <tabColor rgb="FFFF0000"/>
  </sheetPr>
  <dimension ref="A1:L34"/>
  <sheetViews>
    <sheetView tabSelected="1" zoomScaleNormal="100" zoomScaleSheetLayoutView="100" workbookViewId="0">
      <selection activeCell="B6" sqref="B6:H6"/>
    </sheetView>
  </sheetViews>
  <sheetFormatPr defaultColWidth="0" defaultRowHeight="14.45"/>
  <cols>
    <col min="1" max="1" width="4.28515625" style="478" customWidth="1"/>
    <col min="2" max="2" width="3" style="478" customWidth="1"/>
    <col min="3" max="3" width="19.7109375" style="478" customWidth="1"/>
    <col min="4" max="4" width="13.7109375" style="478" customWidth="1"/>
    <col min="5" max="5" width="19.7109375" style="478" customWidth="1"/>
    <col min="6" max="6" width="25.28515625" style="478" customWidth="1"/>
    <col min="7" max="7" width="51.7109375" style="478" customWidth="1"/>
    <col min="8" max="8" width="6.5703125" style="478" customWidth="1"/>
    <col min="9" max="9" width="1.28515625" style="478" customWidth="1"/>
    <col min="10" max="16384" width="33.28515625" style="478" hidden="1"/>
  </cols>
  <sheetData>
    <row r="1" spans="1:12" s="453" customFormat="1" ht="65.25" customHeight="1">
      <c r="A1" s="455"/>
      <c r="B1" s="455"/>
      <c r="C1" s="455"/>
      <c r="D1" s="455"/>
      <c r="E1" s="455"/>
      <c r="F1" s="455"/>
      <c r="G1" s="455"/>
      <c r="H1" s="455"/>
      <c r="I1" s="455"/>
    </row>
    <row r="2" spans="1:12" s="453" customFormat="1" ht="15" customHeight="1">
      <c r="A2" s="467"/>
      <c r="B2" s="467"/>
      <c r="C2" s="476"/>
      <c r="D2" s="476"/>
      <c r="E2" s="476"/>
      <c r="F2" s="476"/>
      <c r="G2" s="476"/>
      <c r="H2" s="475"/>
      <c r="I2" s="467"/>
    </row>
    <row r="3" spans="1:12" s="453" customFormat="1" ht="59.25" customHeight="1">
      <c r="A3" s="467"/>
      <c r="B3" s="467"/>
      <c r="C3" s="474"/>
      <c r="D3" s="473"/>
      <c r="E3" s="472"/>
      <c r="F3" s="471" t="s">
        <v>0</v>
      </c>
      <c r="G3" s="471" t="s">
        <v>1</v>
      </c>
      <c r="H3" s="470"/>
      <c r="I3" s="467"/>
      <c r="J3" s="469"/>
    </row>
    <row r="4" spans="1:12" s="453" customFormat="1" ht="81" customHeight="1">
      <c r="A4" s="467"/>
      <c r="B4" s="844" t="s">
        <v>2</v>
      </c>
      <c r="C4" s="844"/>
      <c r="D4" s="844"/>
      <c r="E4" s="844"/>
      <c r="F4" s="844"/>
      <c r="G4" s="468"/>
      <c r="H4" s="467"/>
      <c r="I4" s="467"/>
    </row>
    <row r="5" spans="1:12" s="453" customFormat="1" ht="20.25" customHeight="1">
      <c r="A5" s="458"/>
      <c r="B5" s="842" t="s">
        <v>3</v>
      </c>
      <c r="C5" s="842"/>
      <c r="D5" s="466" t="s">
        <v>4</v>
      </c>
      <c r="E5" s="465" t="s">
        <v>5</v>
      </c>
      <c r="F5" s="695">
        <v>45254</v>
      </c>
      <c r="G5" s="464"/>
      <c r="H5" s="463"/>
      <c r="I5" s="458"/>
      <c r="J5" s="462"/>
      <c r="K5" s="461"/>
      <c r="L5" s="461"/>
    </row>
    <row r="6" spans="1:12" s="453" customFormat="1" ht="193.5" customHeight="1">
      <c r="A6" s="455"/>
      <c r="B6" s="843" t="s">
        <v>6</v>
      </c>
      <c r="C6" s="866"/>
      <c r="D6" s="866"/>
      <c r="E6" s="866"/>
      <c r="F6" s="866"/>
      <c r="G6" s="866"/>
      <c r="H6" s="866"/>
      <c r="I6" s="455"/>
    </row>
    <row r="7" spans="1:12" s="453" customFormat="1" ht="15.75" customHeight="1">
      <c r="A7" s="480"/>
      <c r="B7" s="481"/>
      <c r="C7" s="481"/>
      <c r="D7" s="481"/>
      <c r="E7" s="481"/>
      <c r="F7" s="481"/>
      <c r="G7" s="481"/>
      <c r="H7" s="479"/>
      <c r="I7" s="455"/>
      <c r="K7" s="460"/>
    </row>
    <row r="8" spans="1:12" s="453" customFormat="1" ht="17.25" customHeight="1">
      <c r="A8" s="480"/>
      <c r="B8" s="480"/>
      <c r="C8" s="480"/>
      <c r="D8" s="480"/>
      <c r="E8" s="480"/>
      <c r="F8" s="480"/>
      <c r="G8" s="480"/>
      <c r="H8" s="455"/>
      <c r="I8" s="455"/>
    </row>
    <row r="9" spans="1:12" s="453" customFormat="1" ht="15.6">
      <c r="A9" s="455"/>
      <c r="B9" s="448" t="s">
        <v>7</v>
      </c>
      <c r="C9" s="459"/>
      <c r="D9" s="448"/>
      <c r="E9" s="448"/>
      <c r="F9" s="448"/>
      <c r="G9" s="448"/>
      <c r="H9" s="448"/>
      <c r="I9" s="455"/>
    </row>
    <row r="10" spans="1:12" s="453" customFormat="1" ht="15.75" customHeight="1">
      <c r="A10" s="455"/>
      <c r="B10" s="457">
        <v>1</v>
      </c>
      <c r="C10" s="841" t="s">
        <v>8</v>
      </c>
      <c r="D10" s="841"/>
      <c r="E10" s="841"/>
      <c r="F10" s="841"/>
      <c r="G10" s="841"/>
      <c r="H10" s="841"/>
      <c r="I10" s="455"/>
    </row>
    <row r="11" spans="1:12" s="453" customFormat="1" ht="15.75" customHeight="1">
      <c r="A11" s="455"/>
      <c r="B11" s="457">
        <v>2</v>
      </c>
      <c r="C11" s="841" t="s">
        <v>9</v>
      </c>
      <c r="D11" s="841"/>
      <c r="E11" s="841"/>
      <c r="F11" s="841"/>
      <c r="G11" s="841"/>
      <c r="H11" s="841"/>
      <c r="I11" s="455"/>
    </row>
    <row r="12" spans="1:12" s="453" customFormat="1" ht="15.75" customHeight="1">
      <c r="A12" s="455"/>
      <c r="B12" s="457">
        <v>3</v>
      </c>
      <c r="C12" s="841" t="s">
        <v>10</v>
      </c>
      <c r="D12" s="841"/>
      <c r="E12" s="841"/>
      <c r="F12" s="841"/>
      <c r="G12" s="841"/>
      <c r="H12" s="841"/>
      <c r="I12" s="455"/>
    </row>
    <row r="13" spans="1:12" s="453" customFormat="1" ht="15.75" customHeight="1">
      <c r="A13" s="458"/>
      <c r="B13" s="457">
        <v>4</v>
      </c>
      <c r="C13" s="841" t="s">
        <v>11</v>
      </c>
      <c r="D13" s="841"/>
      <c r="E13" s="841"/>
      <c r="F13" s="841"/>
      <c r="G13" s="841"/>
      <c r="H13" s="841"/>
      <c r="I13" s="458" t="s">
        <v>12</v>
      </c>
    </row>
    <row r="14" spans="1:12" s="453" customFormat="1" ht="15.75" customHeight="1">
      <c r="A14" s="455"/>
      <c r="B14" s="457">
        <v>5</v>
      </c>
      <c r="C14" s="841" t="s">
        <v>13</v>
      </c>
      <c r="D14" s="841"/>
      <c r="E14" s="841"/>
      <c r="F14" s="841"/>
      <c r="G14" s="841"/>
      <c r="H14" s="841"/>
      <c r="I14" s="455"/>
    </row>
    <row r="15" spans="1:12" s="453" customFormat="1" ht="45.75" customHeight="1">
      <c r="A15" s="455"/>
      <c r="B15" s="457">
        <v>6</v>
      </c>
      <c r="C15" s="841" t="s">
        <v>14</v>
      </c>
      <c r="D15" s="841"/>
      <c r="E15" s="841"/>
      <c r="F15" s="841"/>
      <c r="G15" s="841"/>
      <c r="H15" s="841"/>
      <c r="I15" s="455"/>
    </row>
    <row r="16" spans="1:12" s="453" customFormat="1" ht="15.6">
      <c r="A16" s="455"/>
      <c r="B16" s="457"/>
      <c r="C16" s="456"/>
      <c r="D16" s="456"/>
      <c r="E16" s="456"/>
      <c r="F16" s="456"/>
      <c r="G16" s="456"/>
      <c r="H16" s="456"/>
      <c r="I16" s="455"/>
    </row>
    <row r="17" spans="1:9" s="453" customFormat="1" ht="15.75" customHeight="1">
      <c r="A17" s="448"/>
      <c r="B17" s="448"/>
      <c r="C17" s="840" t="s">
        <v>15</v>
      </c>
      <c r="D17" s="840"/>
      <c r="E17" s="840"/>
      <c r="F17" s="840"/>
      <c r="G17" s="840"/>
      <c r="H17" s="840"/>
      <c r="I17" s="455"/>
    </row>
    <row r="18" spans="1:9" s="453" customFormat="1" ht="15.6">
      <c r="A18" s="448"/>
      <c r="B18" s="448"/>
      <c r="C18" s="454"/>
      <c r="D18" s="454"/>
      <c r="E18" s="454"/>
      <c r="F18" s="454"/>
      <c r="G18" s="454"/>
      <c r="H18" s="454"/>
      <c r="I18" s="448"/>
    </row>
    <row r="19" spans="1:9" s="453" customFormat="1" ht="15.6">
      <c r="A19" s="448"/>
      <c r="B19" s="448"/>
      <c r="C19" s="448"/>
      <c r="D19" s="448"/>
      <c r="E19" s="448"/>
      <c r="F19" s="448"/>
      <c r="G19" s="448"/>
      <c r="H19" s="448"/>
      <c r="I19" s="448"/>
    </row>
    <row r="20" spans="1:9" s="453" customFormat="1" ht="15.6">
      <c r="A20" s="448"/>
      <c r="B20" s="448"/>
      <c r="C20" s="448"/>
      <c r="D20" s="448"/>
      <c r="E20" s="448"/>
      <c r="F20" s="448"/>
      <c r="G20" s="448"/>
      <c r="H20" s="448"/>
      <c r="I20" s="448"/>
    </row>
    <row r="21" spans="1:9" s="453" customFormat="1" ht="15.6">
      <c r="A21" s="448"/>
      <c r="B21" s="448"/>
      <c r="C21" s="450"/>
      <c r="D21" s="451"/>
      <c r="E21" s="450"/>
      <c r="F21" s="448"/>
      <c r="G21" s="452"/>
      <c r="H21" s="448"/>
      <c r="I21" s="448"/>
    </row>
    <row r="22" spans="1:9" s="447" customFormat="1">
      <c r="A22" s="448"/>
      <c r="B22" s="448"/>
      <c r="C22" s="450"/>
      <c r="D22" s="451"/>
      <c r="E22" s="450"/>
      <c r="F22" s="450"/>
      <c r="G22" s="452"/>
      <c r="H22" s="448"/>
      <c r="I22" s="448"/>
    </row>
    <row r="23" spans="1:9" s="447" customFormat="1">
      <c r="A23" s="448"/>
      <c r="B23" s="448"/>
      <c r="C23" s="450"/>
      <c r="D23" s="451"/>
      <c r="E23" s="450"/>
      <c r="F23" s="448"/>
      <c r="G23" s="452"/>
      <c r="H23" s="448"/>
      <c r="I23" s="448"/>
    </row>
    <row r="24" spans="1:9" s="447" customFormat="1">
      <c r="A24" s="448"/>
      <c r="B24" s="448"/>
      <c r="C24" s="450"/>
      <c r="D24" s="451"/>
      <c r="E24" s="450"/>
      <c r="F24" s="448"/>
      <c r="G24" s="452"/>
      <c r="H24" s="448"/>
      <c r="I24" s="448"/>
    </row>
    <row r="25" spans="1:9" s="447" customFormat="1">
      <c r="A25" s="448"/>
      <c r="B25" s="448"/>
      <c r="C25" s="450"/>
      <c r="D25" s="451"/>
      <c r="E25" s="450"/>
      <c r="F25" s="448"/>
      <c r="G25" s="449"/>
      <c r="H25" s="448"/>
      <c r="I25" s="448"/>
    </row>
    <row r="26" spans="1:9" s="447" customFormat="1">
      <c r="A26" s="448"/>
      <c r="B26" s="448"/>
      <c r="C26" s="448"/>
      <c r="D26" s="448"/>
      <c r="E26" s="448"/>
      <c r="F26" s="448"/>
      <c r="G26" s="449"/>
      <c r="H26" s="448"/>
      <c r="I26" s="448"/>
    </row>
    <row r="27" spans="1:9" s="447" customFormat="1">
      <c r="A27" s="448"/>
      <c r="B27" s="448"/>
      <c r="C27" s="448"/>
      <c r="D27" s="448"/>
      <c r="E27" s="448"/>
      <c r="F27" s="448"/>
      <c r="G27" s="449"/>
      <c r="H27" s="448"/>
      <c r="I27" s="448"/>
    </row>
    <row r="28" spans="1:9" s="447" customFormat="1">
      <c r="A28" s="448"/>
      <c r="B28" s="448"/>
      <c r="C28" s="448"/>
      <c r="D28" s="448"/>
      <c r="E28" s="448"/>
      <c r="F28" s="448"/>
      <c r="G28" s="449"/>
      <c r="H28" s="448"/>
      <c r="I28" s="448"/>
    </row>
    <row r="29" spans="1:9" s="447" customFormat="1">
      <c r="A29" s="448"/>
      <c r="B29" s="448"/>
      <c r="C29" s="448"/>
      <c r="D29" s="448"/>
      <c r="E29" s="448"/>
      <c r="F29" s="448"/>
      <c r="G29" s="448"/>
      <c r="H29" s="448"/>
      <c r="I29" s="448"/>
    </row>
    <row r="30" spans="1:9" s="447" customFormat="1">
      <c r="A30" s="448"/>
      <c r="B30" s="448"/>
      <c r="C30" s="448"/>
      <c r="D30" s="448"/>
      <c r="E30" s="448"/>
      <c r="F30" s="448"/>
      <c r="G30" s="448"/>
      <c r="H30" s="448"/>
      <c r="I30" s="448"/>
    </row>
    <row r="31" spans="1:9" s="447" customFormat="1">
      <c r="A31" s="448"/>
      <c r="B31" s="448"/>
      <c r="C31" s="448"/>
      <c r="D31" s="448"/>
      <c r="E31" s="448"/>
      <c r="F31" s="448"/>
      <c r="G31" s="448"/>
      <c r="H31" s="448"/>
      <c r="I31" s="448"/>
    </row>
    <row r="32" spans="1:9" s="447" customFormat="1">
      <c r="A32" s="448"/>
      <c r="B32" s="448"/>
      <c r="C32" s="448"/>
      <c r="D32" s="448"/>
      <c r="E32" s="448"/>
      <c r="F32" s="448"/>
      <c r="G32" s="448"/>
      <c r="H32" s="448"/>
      <c r="I32" s="448"/>
    </row>
    <row r="33" spans="1:9">
      <c r="A33" s="477"/>
      <c r="B33" s="477"/>
      <c r="C33" s="477"/>
      <c r="D33" s="477"/>
      <c r="E33" s="477"/>
      <c r="F33" s="477"/>
      <c r="G33" s="477"/>
      <c r="H33" s="477"/>
      <c r="I33" s="477"/>
    </row>
    <row r="34" spans="1:9">
      <c r="I34" s="477"/>
    </row>
  </sheetData>
  <mergeCells count="10">
    <mergeCell ref="B5:C5"/>
    <mergeCell ref="B6:H6"/>
    <mergeCell ref="C14:H14"/>
    <mergeCell ref="B4:F4"/>
    <mergeCell ref="C15:H15"/>
    <mergeCell ref="C17:H17"/>
    <mergeCell ref="C13:H13"/>
    <mergeCell ref="C10:H10"/>
    <mergeCell ref="C11:H11"/>
    <mergeCell ref="C12:H12"/>
  </mergeCells>
  <pageMargins left="0.7" right="0.7" top="0.75" bottom="0.75" header="0.3" footer="0.3"/>
  <pageSetup paperSize="9" scale="6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6F89-73CE-4540-AE68-896F5DEF6720}">
  <sheetPr codeName="Sheet12">
    <tabColor rgb="FF8AD1F3"/>
  </sheetPr>
  <dimension ref="A1:J92"/>
  <sheetViews>
    <sheetView showGridLines="0" topLeftCell="A61" zoomScale="80" zoomScaleNormal="80" workbookViewId="0">
      <selection activeCell="G77" sqref="G77"/>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4.28515625" style="1" customWidth="1"/>
    <col min="8" max="8" width="2.28515625" style="1" customWidth="1"/>
    <col min="9" max="9" width="20.5703125" style="1" customWidth="1"/>
    <col min="10"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817</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818</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22</v>
      </c>
      <c r="C10" s="55"/>
      <c r="D10" s="55"/>
      <c r="E10" s="55"/>
      <c r="F10" s="55"/>
      <c r="G10" s="55"/>
      <c r="H10" s="55"/>
    </row>
    <row r="11" spans="1:10" ht="10.5" customHeight="1">
      <c r="B11" s="57"/>
      <c r="C11" s="55"/>
      <c r="D11" s="55"/>
      <c r="E11" s="55"/>
      <c r="F11" s="55"/>
      <c r="G11" s="55"/>
      <c r="H11" s="55"/>
    </row>
    <row r="12" spans="1:10" s="22" customFormat="1" ht="30" customHeight="1">
      <c r="B12" s="24"/>
      <c r="C12" s="23"/>
      <c r="D12" s="23"/>
      <c r="E12" s="74">
        <v>2</v>
      </c>
      <c r="F12" s="51" t="s">
        <v>23</v>
      </c>
      <c r="G12" s="23"/>
      <c r="H12" s="23"/>
      <c r="I12" s="23"/>
      <c r="J12" s="23"/>
    </row>
    <row r="13" spans="1:10" s="22" customFormat="1" ht="17.25" customHeight="1">
      <c r="B13" s="25" t="str">
        <f>IF(MOD(Shopping_Centre_Target_Energy*10,1)/10&lt;=0,"","ERROR: Energy Rating must be in 0.1 star increment")</f>
        <v/>
      </c>
      <c r="C13" s="23"/>
      <c r="D13" s="23"/>
      <c r="E13" s="26"/>
      <c r="F13" s="23"/>
      <c r="G13" s="23"/>
      <c r="H13" s="23"/>
    </row>
    <row r="14" spans="1:10" s="22" customFormat="1" ht="30" customHeight="1">
      <c r="B14" s="24"/>
      <c r="C14" s="24"/>
      <c r="D14" s="24"/>
      <c r="E14" s="74">
        <v>3</v>
      </c>
      <c r="F14" s="51" t="s">
        <v>23</v>
      </c>
      <c r="G14" s="24"/>
      <c r="H14" s="24"/>
    </row>
    <row r="15" spans="1:10" ht="13.5" customHeight="1">
      <c r="B15" s="25" t="str">
        <f>IF(MOD(Shopping_Centre_Target_Water*10,1)/10&lt;=0,"","ERROR: Water Rating must be in 0.1 star increment")</f>
        <v/>
      </c>
      <c r="C15" s="6"/>
      <c r="D15" s="6"/>
      <c r="E15" s="7"/>
      <c r="F15" s="314"/>
      <c r="G15" s="6"/>
      <c r="H15" s="6"/>
    </row>
    <row r="16" spans="1:10" ht="13.5" customHeight="1">
      <c r="B16" s="6"/>
      <c r="C16" s="6"/>
      <c r="D16" s="6"/>
      <c r="E16" s="7"/>
      <c r="F16" s="314"/>
      <c r="G16" s="6"/>
      <c r="H16" s="6"/>
    </row>
    <row r="17" spans="1:10" ht="13.5" customHeight="1">
      <c r="B17" s="6"/>
      <c r="C17" s="6"/>
      <c r="D17" s="6"/>
      <c r="E17" s="7"/>
      <c r="F17" s="314"/>
      <c r="G17" s="6"/>
      <c r="H17" s="6"/>
    </row>
    <row r="18" spans="1:10" ht="13.5" customHeight="1">
      <c r="B18" s="58"/>
      <c r="I18" s="14"/>
    </row>
    <row r="19" spans="1:10" ht="17.25" customHeight="1">
      <c r="B19" s="56" t="s">
        <v>24</v>
      </c>
      <c r="C19" s="55"/>
      <c r="D19" s="55"/>
      <c r="E19" s="55"/>
      <c r="F19" s="55"/>
      <c r="G19" s="55"/>
      <c r="H19" s="55"/>
    </row>
    <row r="20" spans="1:10" ht="10.5" customHeight="1">
      <c r="B20" s="312"/>
      <c r="C20" s="312"/>
      <c r="D20" s="312"/>
      <c r="E20" s="312"/>
      <c r="F20" s="312"/>
      <c r="G20" s="312"/>
      <c r="H20" s="312"/>
      <c r="I20" s="313"/>
      <c r="J20" s="313"/>
    </row>
    <row r="21" spans="1:10" s="8" customFormat="1" ht="20.25" customHeight="1">
      <c r="A21" s="71"/>
      <c r="B21" s="77" t="s">
        <v>25</v>
      </c>
      <c r="C21" s="78"/>
      <c r="D21" s="78"/>
      <c r="E21" s="78"/>
      <c r="F21" s="78"/>
      <c r="G21" s="79"/>
      <c r="I21" s="75">
        <v>2000</v>
      </c>
    </row>
    <row r="22" spans="1:10" s="8" customFormat="1" ht="20.25" customHeight="1">
      <c r="A22" s="71"/>
      <c r="B22" s="338" t="s">
        <v>819</v>
      </c>
      <c r="C22" s="9"/>
      <c r="D22" s="9"/>
      <c r="E22" s="9"/>
      <c r="F22" s="9"/>
      <c r="G22" s="326"/>
      <c r="H22" s="10"/>
      <c r="I22" s="75" t="s">
        <v>820</v>
      </c>
    </row>
    <row r="23" spans="1:10" s="8" customFormat="1" ht="20.25" customHeight="1">
      <c r="A23" s="71"/>
      <c r="B23" s="339" t="s">
        <v>821</v>
      </c>
      <c r="C23" s="324"/>
      <c r="D23" s="324"/>
      <c r="E23" s="324"/>
      <c r="F23" s="324"/>
      <c r="G23" s="325"/>
      <c r="I23" s="173">
        <v>123123</v>
      </c>
    </row>
    <row r="24" spans="1:10" s="8" customFormat="1" ht="20.25" customHeight="1">
      <c r="A24" s="71"/>
      <c r="B24" s="339" t="s">
        <v>822</v>
      </c>
      <c r="C24" s="9"/>
      <c r="D24" s="9"/>
      <c r="E24" s="9"/>
      <c r="F24" s="9"/>
      <c r="G24" s="326"/>
      <c r="H24" s="10"/>
      <c r="I24" s="173">
        <v>12333</v>
      </c>
    </row>
    <row r="25" spans="1:10" s="8" customFormat="1" ht="20.25" customHeight="1">
      <c r="A25" s="71"/>
      <c r="B25" s="338" t="s">
        <v>823</v>
      </c>
      <c r="C25" s="9"/>
      <c r="D25" s="9"/>
      <c r="E25" s="9"/>
      <c r="F25" s="9"/>
      <c r="G25" s="326"/>
      <c r="H25" s="10"/>
      <c r="I25" s="142">
        <v>340</v>
      </c>
    </row>
    <row r="26" spans="1:10" s="8" customFormat="1" ht="20.25" customHeight="1">
      <c r="A26" s="71"/>
      <c r="B26" s="338" t="s">
        <v>824</v>
      </c>
      <c r="C26" s="9"/>
      <c r="D26" s="9"/>
      <c r="E26" s="9"/>
      <c r="F26" s="9"/>
      <c r="G26" s="326"/>
      <c r="H26" s="10"/>
      <c r="I26" s="142">
        <v>60</v>
      </c>
    </row>
    <row r="27" spans="1:10" s="8" customFormat="1" ht="20.25" customHeight="1">
      <c r="A27" s="71"/>
      <c r="B27" s="338" t="s">
        <v>825</v>
      </c>
      <c r="C27" s="9"/>
      <c r="D27" s="9"/>
      <c r="E27" s="9"/>
      <c r="F27" s="9"/>
      <c r="G27" s="326"/>
      <c r="H27" s="10"/>
      <c r="I27" s="172">
        <v>111</v>
      </c>
    </row>
    <row r="28" spans="1:10" s="8" customFormat="1" ht="20.25" customHeight="1">
      <c r="A28" s="71"/>
      <c r="B28" s="338" t="s">
        <v>826</v>
      </c>
      <c r="C28" s="9"/>
      <c r="D28" s="9"/>
      <c r="E28" s="9"/>
      <c r="F28" s="9"/>
      <c r="G28" s="326"/>
      <c r="H28" s="10"/>
      <c r="I28" s="172">
        <v>222</v>
      </c>
    </row>
    <row r="29" spans="1:10" s="8" customFormat="1" ht="20.25" customHeight="1">
      <c r="A29" s="71"/>
      <c r="B29" s="338" t="s">
        <v>827</v>
      </c>
      <c r="C29" s="9"/>
      <c r="D29" s="9"/>
      <c r="E29" s="9"/>
      <c r="F29" s="9"/>
      <c r="G29" s="326"/>
      <c r="H29" s="10"/>
      <c r="I29" s="172">
        <v>100</v>
      </c>
    </row>
    <row r="30" spans="1:10" s="8" customFormat="1" ht="20.25" customHeight="1">
      <c r="A30" s="71"/>
      <c r="B30" s="338" t="s">
        <v>828</v>
      </c>
      <c r="C30" s="9"/>
      <c r="D30" s="9"/>
      <c r="E30" s="9"/>
      <c r="F30" s="9"/>
      <c r="G30" s="326"/>
      <c r="H30" s="10"/>
      <c r="I30" s="172">
        <v>6</v>
      </c>
    </row>
    <row r="31" spans="1:10" s="8" customFormat="1" ht="20.25" customHeight="1">
      <c r="A31" s="71"/>
      <c r="B31" s="338" t="s">
        <v>829</v>
      </c>
      <c r="C31" s="9"/>
      <c r="D31" s="9"/>
      <c r="E31" s="9"/>
      <c r="F31" s="9"/>
      <c r="G31" s="326"/>
      <c r="H31" s="10"/>
      <c r="I31" s="173">
        <v>200</v>
      </c>
    </row>
    <row r="32" spans="1:10" s="8" customFormat="1" ht="20.25" customHeight="1">
      <c r="A32" s="71"/>
      <c r="B32" s="345" t="str">
        <f>IF(I23="","",IF(I23&gt;=15000,"","Total Serviced Gymnasium Area (m²)"))</f>
        <v/>
      </c>
      <c r="C32" s="80"/>
      <c r="D32" s="80"/>
      <c r="E32" s="80"/>
      <c r="F32" s="80"/>
      <c r="G32" s="81"/>
      <c r="H32" s="10"/>
      <c r="I32" s="173"/>
    </row>
    <row r="33" spans="1:10" s="8" customFormat="1" ht="12.75" customHeight="1">
      <c r="A33" s="71"/>
      <c r="B33" s="11"/>
      <c r="C33" s="9"/>
      <c r="D33" s="9"/>
      <c r="E33" s="9"/>
      <c r="F33" s="9"/>
      <c r="G33" s="9"/>
      <c r="H33" s="10"/>
      <c r="I33" s="327"/>
    </row>
    <row r="34" spans="1:10" s="8" customFormat="1" ht="20.25" customHeight="1">
      <c r="A34" s="71"/>
      <c r="B34" s="663" t="s">
        <v>27</v>
      </c>
      <c r="C34" s="666"/>
      <c r="D34" s="666"/>
      <c r="E34" s="666"/>
      <c r="F34" s="666"/>
      <c r="G34" s="667" t="s">
        <v>28</v>
      </c>
      <c r="H34" s="12"/>
      <c r="I34" s="84">
        <v>1</v>
      </c>
    </row>
    <row r="35" spans="1:10" s="8" customFormat="1" ht="20.25" customHeight="1">
      <c r="A35" s="71"/>
      <c r="B35" s="60" t="str">
        <f>IF(SUM(Shopping_Centre_Elec_Percent,Shopping_Centre_Gas_Percent,Shopping_Centre_Diesel_Percent)=1,"","ERROR: Percentage breakdown must total 100%")</f>
        <v/>
      </c>
      <c r="C35" s="13"/>
      <c r="D35" s="13"/>
      <c r="E35" s="13"/>
      <c r="F35" s="13"/>
      <c r="G35" s="61" t="s">
        <v>29</v>
      </c>
      <c r="H35" s="17"/>
      <c r="I35" s="84"/>
    </row>
    <row r="36" spans="1:10" s="8" customFormat="1" ht="20.25" customHeight="1">
      <c r="A36" s="71"/>
      <c r="B36" s="62"/>
      <c r="C36" s="63"/>
      <c r="D36" s="63"/>
      <c r="E36" s="63"/>
      <c r="F36" s="63"/>
      <c r="G36" s="64" t="s">
        <v>30</v>
      </c>
      <c r="H36" s="17"/>
      <c r="I36" s="84"/>
    </row>
    <row r="37" spans="1:10" ht="19.5" customHeight="1">
      <c r="B37" s="328"/>
      <c r="C37" s="329"/>
      <c r="D37" s="329"/>
      <c r="E37" s="329"/>
      <c r="F37" s="329"/>
      <c r="G37" s="329"/>
      <c r="H37" s="329"/>
      <c r="I37" s="330"/>
    </row>
    <row r="38" spans="1:10" ht="13.9" thickBot="1">
      <c r="B38" s="331"/>
      <c r="C38" s="332"/>
      <c r="D38" s="332"/>
      <c r="E38" s="332"/>
      <c r="F38" s="332"/>
      <c r="G38" s="332"/>
      <c r="H38" s="332"/>
      <c r="I38" s="333"/>
    </row>
    <row r="39" spans="1:10" ht="18.600000000000001" thickTop="1" thickBot="1">
      <c r="B39" s="89" t="s">
        <v>31</v>
      </c>
      <c r="C39" s="88"/>
      <c r="D39" s="88"/>
      <c r="E39" s="88"/>
      <c r="F39" s="88"/>
      <c r="G39" s="88"/>
      <c r="H39" s="88"/>
      <c r="I39" s="90"/>
    </row>
    <row r="40" spans="1:10" ht="16.149999999999999" thickTop="1">
      <c r="B40" s="85"/>
      <c r="C40" s="85"/>
      <c r="D40" s="85"/>
      <c r="E40" s="85"/>
      <c r="F40" s="85"/>
      <c r="G40" s="85"/>
      <c r="H40" s="85"/>
      <c r="I40" s="86"/>
      <c r="J40" s="313"/>
    </row>
    <row r="41" spans="1:10" ht="18" customHeight="1">
      <c r="C41" s="29" t="s">
        <v>830</v>
      </c>
      <c r="D41" s="16"/>
      <c r="G41" s="65">
        <f>INDEX(tbl_Shopping_Centre_Multi[],1,MATCH($J41,tbl_Shopping_Centre_Multi[#Headers],0))</f>
        <v>9927417.4827503562</v>
      </c>
      <c r="H41" s="15"/>
      <c r="I41" s="334" t="s">
        <v>33</v>
      </c>
      <c r="J41" s="95" t="s">
        <v>474</v>
      </c>
    </row>
    <row r="42" spans="1:10" ht="18" customHeight="1">
      <c r="C42" s="16"/>
      <c r="D42" s="16"/>
      <c r="G42" s="15"/>
      <c r="H42" s="15"/>
      <c r="J42" s="96"/>
    </row>
    <row r="43" spans="1:10" ht="18" customHeight="1">
      <c r="C43" s="31" t="str">
        <f>CONCATENATE("Maximum Benchmarking Emissions at ",Shopping_Centre_Target_Energy, " Star NABERS Energy")</f>
        <v>Maximum Benchmarking Emissions at 2 Star NABERS Energy</v>
      </c>
      <c r="D43" s="16"/>
      <c r="G43" s="65">
        <f>INDEX(tbl_Shopping_Centre_Multi[],1,MATCH($J43,tbl_Shopping_Centre_Multi[#Headers],0))</f>
        <v>13153828.164644223</v>
      </c>
      <c r="H43" s="15"/>
      <c r="I43" s="334" t="s">
        <v>33</v>
      </c>
      <c r="J43" s="95" t="s">
        <v>35</v>
      </c>
    </row>
    <row r="44" spans="1:10" ht="18" customHeight="1">
      <c r="C44" s="16"/>
      <c r="D44" s="16"/>
      <c r="H44" s="15"/>
      <c r="J44" s="96"/>
    </row>
    <row r="45" spans="1:10" ht="18" customHeight="1">
      <c r="C45" s="16"/>
      <c r="D45" s="16"/>
      <c r="H45" s="15"/>
      <c r="J45" s="96"/>
    </row>
    <row r="46" spans="1:10" ht="18" customHeight="1">
      <c r="C46" s="29" t="s">
        <v>831</v>
      </c>
      <c r="D46" s="16"/>
      <c r="G46" s="65">
        <f>INDEX(tbl_Shopping_Centre_Multi[],1,MATCH($J46,tbl_Shopping_Centre_Multi[#Headers],0))</f>
        <v>12569213.039999999</v>
      </c>
      <c r="H46" s="15"/>
      <c r="I46" s="334" t="s">
        <v>33</v>
      </c>
      <c r="J46" s="95" t="s">
        <v>37</v>
      </c>
    </row>
    <row r="47" spans="1:10" ht="18" customHeight="1">
      <c r="C47" s="16"/>
      <c r="D47" s="16"/>
      <c r="G47" s="15"/>
      <c r="H47" s="15"/>
      <c r="J47" s="96"/>
    </row>
    <row r="48" spans="1:10" ht="18" customHeight="1">
      <c r="C48" s="29" t="s">
        <v>832</v>
      </c>
      <c r="D48" s="16"/>
      <c r="G48" s="65">
        <f>INDEX(tbl_Shopping_Centre_Multi[],1,MATCH($J48,tbl_Shopping_Centre_Multi[#Headers],0))</f>
        <v>11546137.560000001</v>
      </c>
      <c r="H48" s="15"/>
      <c r="I48" s="334" t="s">
        <v>33</v>
      </c>
      <c r="J48" s="95" t="s">
        <v>39</v>
      </c>
    </row>
    <row r="49" spans="1:10" s="8" customFormat="1" ht="18" customHeight="1">
      <c r="A49" s="1"/>
      <c r="B49" s="1"/>
      <c r="C49" s="16"/>
      <c r="D49" s="16"/>
      <c r="E49" s="1"/>
      <c r="F49" s="1"/>
      <c r="G49" s="15"/>
      <c r="H49" s="15"/>
      <c r="I49" s="1"/>
      <c r="J49" s="96"/>
    </row>
    <row r="50" spans="1:10" s="8" customFormat="1" ht="18" customHeight="1">
      <c r="A50" s="1"/>
      <c r="B50" s="1"/>
      <c r="C50" s="16"/>
      <c r="D50" s="16"/>
      <c r="E50" s="1"/>
      <c r="F50" s="1"/>
      <c r="G50" s="15"/>
      <c r="H50" s="15"/>
      <c r="I50" s="1"/>
      <c r="J50" s="96"/>
    </row>
    <row r="51" spans="1:10" ht="18" customHeight="1">
      <c r="C51" s="16" t="str">
        <f>CONCATENATE("Benchmarking Emissions Intensity at ",Shopping_Centre_Target_Energy, " Star NABERS Energy")</f>
        <v>Benchmarking Emissions Intensity at 2 Star NABERS Energy</v>
      </c>
      <c r="G51" s="379">
        <f>INDEX(tbl_Shopping_Centre_Multi[],1,MATCH($J51,tbl_Shopping_Centre_Multi[#Headers],0))</f>
        <v>106.83485753794353</v>
      </c>
      <c r="I51" s="334" t="s">
        <v>40</v>
      </c>
      <c r="J51" s="95" t="s">
        <v>41</v>
      </c>
    </row>
    <row r="52" spans="1:10" ht="18" customHeight="1">
      <c r="C52" s="16"/>
      <c r="D52" s="16"/>
      <c r="G52" s="405"/>
      <c r="H52" s="15"/>
      <c r="J52" s="96"/>
    </row>
    <row r="53" spans="1:10" ht="18" customHeight="1">
      <c r="C53" s="16" t="str">
        <f>CONCATENATE("Energy Intensity at ",Shopping_Centre_Target_Energy, " Star NABERS Energy")</f>
        <v>Energy Intensity at 2 Star NABERS Energy</v>
      </c>
      <c r="G53" s="379">
        <f>INDEX(tbl_Shopping_Centre_Multi[],1,MATCH($J53,tbl_Shopping_Centre_Multi[#Headers],0))</f>
        <v>427.3394301517742</v>
      </c>
      <c r="I53" s="334" t="s">
        <v>42</v>
      </c>
      <c r="J53" s="95" t="s">
        <v>43</v>
      </c>
    </row>
    <row r="54" spans="1:10" ht="18" customHeight="1">
      <c r="C54" s="16"/>
      <c r="D54" s="16"/>
      <c r="G54" s="15"/>
      <c r="H54" s="15"/>
      <c r="J54" s="96"/>
    </row>
    <row r="55" spans="1:10" ht="18" customHeight="1">
      <c r="C55" s="16"/>
      <c r="D55" s="16"/>
      <c r="G55" s="15"/>
      <c r="H55" s="15"/>
      <c r="J55" s="96"/>
    </row>
    <row r="56" spans="1:10" ht="18" customHeight="1">
      <c r="C56" s="76" t="s">
        <v>44</v>
      </c>
      <c r="D56" s="312"/>
      <c r="E56" s="8"/>
      <c r="F56" s="8"/>
      <c r="J56" s="96"/>
    </row>
    <row r="57" spans="1:10" ht="16.899999999999999">
      <c r="C57" s="66"/>
      <c r="D57" s="66"/>
      <c r="E57" s="8"/>
      <c r="F57" s="67" t="s">
        <v>45</v>
      </c>
      <c r="G57" s="65">
        <f>INDEX(tbl_Shopping_Centre_Multi[],1,MATCH($J57,tbl_Shopping_Centre_Multi[#Headers],0))</f>
        <v>14615364</v>
      </c>
      <c r="H57" s="335"/>
      <c r="I57" s="335" t="s">
        <v>46</v>
      </c>
      <c r="J57" s="95" t="s">
        <v>47</v>
      </c>
    </row>
    <row r="58" spans="1:10" ht="16.899999999999999">
      <c r="C58" s="66"/>
      <c r="D58" s="66"/>
      <c r="E58" s="8"/>
      <c r="F58" s="67" t="s">
        <v>48</v>
      </c>
      <c r="G58" s="65">
        <f>INDEX(tbl_Shopping_Centre_Multi[],1,MATCH($J58,tbl_Shopping_Centre_Multi[#Headers],0))</f>
        <v>0</v>
      </c>
      <c r="H58" s="335"/>
      <c r="I58" s="335" t="s">
        <v>49</v>
      </c>
      <c r="J58" s="95" t="s">
        <v>50</v>
      </c>
    </row>
    <row r="59" spans="1:10" ht="16.899999999999999">
      <c r="C59" s="66"/>
      <c r="D59" s="66"/>
      <c r="F59" s="67" t="s">
        <v>51</v>
      </c>
      <c r="G59" s="65">
        <f>INDEX(tbl_Shopping_Centre_Multi[],1,MATCH($J59,tbl_Shopping_Centre_Multi[#Headers],0))</f>
        <v>0</v>
      </c>
      <c r="H59" s="335"/>
      <c r="I59" s="335" t="s">
        <v>52</v>
      </c>
      <c r="J59" s="95" t="s">
        <v>53</v>
      </c>
    </row>
    <row r="60" spans="1:10" ht="13.9" thickBot="1">
      <c r="A60" s="90"/>
      <c r="B60" s="90"/>
      <c r="C60" s="90"/>
      <c r="D60" s="90"/>
      <c r="E60" s="90"/>
      <c r="F60" s="90"/>
      <c r="G60" s="90"/>
      <c r="H60" s="90"/>
      <c r="I60" s="90"/>
      <c r="J60" s="95"/>
    </row>
    <row r="61" spans="1:10" ht="13.9" thickTop="1">
      <c r="J61" s="95"/>
    </row>
    <row r="62" spans="1:10" ht="18" customHeight="1">
      <c r="A62" s="32"/>
      <c r="B62" s="33"/>
      <c r="C62" s="29" t="s">
        <v>833</v>
      </c>
      <c r="E62" s="28"/>
      <c r="F62" s="28"/>
      <c r="G62" s="336">
        <f>INDEX(tbl_Shopping_Centre_Multi[],1,MATCH($J62,tbl_Shopping_Centre_Multi[#Headers],0))</f>
        <v>113337.774502</v>
      </c>
      <c r="H62" s="30"/>
      <c r="I62" s="337" t="s">
        <v>54</v>
      </c>
      <c r="J62" s="95" t="s">
        <v>480</v>
      </c>
    </row>
    <row r="63" spans="1:10" ht="18" customHeight="1">
      <c r="A63" s="32"/>
      <c r="B63" s="33"/>
      <c r="C63" s="83" t="str">
        <f>IF(ISNUMBER(#REF!),#REF!,"")</f>
        <v/>
      </c>
      <c r="E63" s="83"/>
      <c r="F63" s="83"/>
      <c r="G63" s="34"/>
      <c r="I63" s="22"/>
      <c r="J63" s="98"/>
    </row>
    <row r="64" spans="1:10" ht="18" customHeight="1">
      <c r="A64" s="32"/>
      <c r="B64" s="33"/>
      <c r="C64" s="31" t="str">
        <f>CONCATENATE("Maximum Water Consumption at ",Shopping_Centre_Target_Water, " Star NABERS Water")</f>
        <v>Maximum Water Consumption at 3 Star NABERS Water</v>
      </c>
      <c r="E64" s="27"/>
      <c r="F64" s="22"/>
      <c r="G64" s="336">
        <f>INDEX(tbl_Shopping_Centre_Multi[],1,MATCH($J64,tbl_Shopping_Centre_Multi[#Headers],0))</f>
        <v>120138</v>
      </c>
      <c r="I64" s="337" t="s">
        <v>54</v>
      </c>
      <c r="J64" s="97" t="s">
        <v>55</v>
      </c>
    </row>
    <row r="65" spans="1:10" ht="18" customHeight="1">
      <c r="A65" s="22"/>
      <c r="B65" s="28"/>
      <c r="C65" s="28"/>
      <c r="D65" s="848" t="str">
        <f>IF(ISNUMBER(#REF!),#REF!,"")</f>
        <v/>
      </c>
      <c r="E65" s="848"/>
      <c r="F65" s="848"/>
      <c r="G65" s="34"/>
      <c r="I65" s="35"/>
      <c r="J65" s="22"/>
    </row>
    <row r="66" spans="1:10" ht="18" customHeight="1">
      <c r="A66" s="22"/>
      <c r="B66" s="28"/>
      <c r="C66" s="28"/>
      <c r="D66" s="375"/>
      <c r="E66" s="375"/>
      <c r="F66" s="375"/>
      <c r="G66" s="34"/>
      <c r="I66" s="35"/>
      <c r="J66" s="22"/>
    </row>
    <row r="67" spans="1:10" ht="18" customHeight="1">
      <c r="A67" s="22"/>
      <c r="B67" s="28"/>
      <c r="C67" s="23" t="str">
        <f>CONCATENATE("Water Intensity at ",Shopping_Centre_Target_Water, " Star NABERS Water")</f>
        <v>Water Intensity at 3 Star NABERS Water</v>
      </c>
      <c r="G67" s="381">
        <f>INDEX(tbl_Shopping_Centre_Multi[],1,MATCH($J67,tbl_Shopping_Centre_Multi[#Headers],0))</f>
        <v>0.97575628413960036</v>
      </c>
      <c r="H67" s="32"/>
      <c r="I67" s="337" t="s">
        <v>56</v>
      </c>
      <c r="J67" s="95" t="s">
        <v>57</v>
      </c>
    </row>
    <row r="70" spans="1:10" ht="13.9" thickBot="1"/>
    <row r="71" spans="1:10" ht="18.600000000000001" thickTop="1" thickBot="1">
      <c r="B71" s="92" t="s">
        <v>58</v>
      </c>
      <c r="C71" s="87"/>
      <c r="D71" s="87"/>
      <c r="E71" s="87"/>
      <c r="F71" s="87"/>
      <c r="G71" s="87"/>
      <c r="H71" s="87"/>
      <c r="I71" s="91"/>
    </row>
    <row r="72" spans="1:10" ht="13.9" thickTop="1"/>
    <row r="73" spans="1:10">
      <c r="B73" s="668" t="s">
        <v>59</v>
      </c>
      <c r="C73" s="669"/>
      <c r="D73" s="669"/>
      <c r="E73" s="669"/>
      <c r="F73" s="670" t="s">
        <v>60</v>
      </c>
      <c r="G73" s="356">
        <v>8000000</v>
      </c>
    </row>
    <row r="74" spans="1:10">
      <c r="B74" s="19"/>
      <c r="C74" s="20"/>
      <c r="D74" s="20"/>
      <c r="E74" s="20"/>
      <c r="F74" s="21" t="s">
        <v>61</v>
      </c>
      <c r="G74" s="356">
        <v>80000000</v>
      </c>
    </row>
    <row r="75" spans="1:10">
      <c r="B75" s="100"/>
      <c r="C75" s="20"/>
      <c r="D75" s="20"/>
      <c r="E75" s="20"/>
      <c r="F75" s="21" t="s">
        <v>62</v>
      </c>
      <c r="G75" s="356">
        <v>0</v>
      </c>
    </row>
    <row r="76" spans="1:10">
      <c r="B76" s="18"/>
      <c r="C76" s="99"/>
      <c r="D76" s="99"/>
      <c r="E76" s="99"/>
      <c r="F76" s="21" t="s">
        <v>63</v>
      </c>
      <c r="G76" s="357">
        <v>0.5</v>
      </c>
    </row>
    <row r="77" spans="1:10">
      <c r="B77" s="111" t="s">
        <v>64</v>
      </c>
      <c r="C77" s="103"/>
      <c r="D77" s="103"/>
      <c r="E77" s="103"/>
      <c r="F77" s="104" t="s">
        <v>65</v>
      </c>
      <c r="G77" s="140">
        <f>INDEX(tbl_Shopping_Centre_Multi[],1,MATCH($J77,tbl_Shopping_Centre_Multi[#Headers],0))</f>
        <v>88.345231932063257</v>
      </c>
      <c r="J77" s="95" t="s">
        <v>483</v>
      </c>
    </row>
    <row r="78" spans="1:10">
      <c r="B78" s="114"/>
      <c r="C78" s="106"/>
      <c r="D78" s="106"/>
      <c r="E78" s="106"/>
      <c r="F78" s="107" t="s">
        <v>67</v>
      </c>
      <c r="G78" s="141">
        <f>INDEX(tbl_Shopping_Centre_Multi[],1,MATCH($J78,tbl_Shopping_Centre_Multi[#Headers],0))</f>
        <v>3.6662176629410093</v>
      </c>
      <c r="J78" s="95" t="s">
        <v>68</v>
      </c>
    </row>
    <row r="79" spans="1:10">
      <c r="B79" s="105"/>
      <c r="C79" s="106"/>
      <c r="D79" s="106"/>
      <c r="E79" s="106"/>
      <c r="F79" s="107" t="s">
        <v>69</v>
      </c>
      <c r="G79" s="141">
        <f>INDEX(tbl_Shopping_Centre_Multi[],1,MATCH($J79,tbl_Shopping_Centre_Multi[#Headers],0))</f>
        <v>3.5</v>
      </c>
      <c r="H79" s="17"/>
      <c r="J79" s="95" t="s">
        <v>70</v>
      </c>
    </row>
    <row r="80" spans="1:10">
      <c r="B80" s="114"/>
      <c r="C80" s="106"/>
      <c r="D80" s="106"/>
      <c r="E80" s="106"/>
      <c r="F80" s="107" t="s">
        <v>71</v>
      </c>
      <c r="G80" s="140">
        <f>INDEX(tbl_Shopping_Centre_Multi[],1,MATCH($J80,tbl_Shopping_Centre_Multi[#Headers],0))</f>
        <v>124.60843942036799</v>
      </c>
      <c r="H80" s="17"/>
      <c r="J80" s="95" t="s">
        <v>484</v>
      </c>
    </row>
    <row r="81" spans="2:10">
      <c r="B81" s="105"/>
      <c r="C81" s="106"/>
      <c r="D81" s="106"/>
      <c r="E81" s="106"/>
      <c r="F81" s="107" t="s">
        <v>73</v>
      </c>
      <c r="G81" s="141">
        <f>INDEX(tbl_Shopping_Centre_Multi[],1,MATCH($J81,tbl_Shopping_Centre_Multi[#Headers],0))</f>
        <v>2.2977947388540381</v>
      </c>
      <c r="H81" s="17"/>
      <c r="J81" s="95" t="s">
        <v>74</v>
      </c>
    </row>
    <row r="82" spans="2:10">
      <c r="B82" s="108"/>
      <c r="C82" s="109"/>
      <c r="D82" s="109"/>
      <c r="E82" s="109"/>
      <c r="F82" s="110" t="s">
        <v>75</v>
      </c>
      <c r="G82" s="141">
        <f>INDEX(tbl_Shopping_Centre_Multi[],1,MATCH($J82,tbl_Shopping_Centre_Multi[#Headers],0))</f>
        <v>2</v>
      </c>
      <c r="H82" s="17"/>
      <c r="J82" s="95" t="s">
        <v>76</v>
      </c>
    </row>
    <row r="83" spans="2:10">
      <c r="B83" s="13"/>
      <c r="C83" s="13"/>
      <c r="D83" s="13"/>
      <c r="E83" s="65"/>
      <c r="F83" s="65"/>
      <c r="G83" s="65"/>
      <c r="H83" s="17"/>
    </row>
    <row r="85" spans="2:10">
      <c r="B85" s="112" t="s">
        <v>77</v>
      </c>
      <c r="C85" s="113"/>
      <c r="D85" s="113"/>
      <c r="E85" s="113"/>
      <c r="F85" s="102" t="s">
        <v>78</v>
      </c>
      <c r="G85" s="356"/>
    </row>
    <row r="86" spans="2:10">
      <c r="B86" s="115"/>
      <c r="C86" s="99"/>
      <c r="D86" s="99"/>
      <c r="E86" s="99"/>
      <c r="F86" s="101" t="s">
        <v>79</v>
      </c>
      <c r="G86" s="357"/>
      <c r="H86" s="12"/>
    </row>
    <row r="87" spans="2:10">
      <c r="B87" s="128" t="s">
        <v>80</v>
      </c>
      <c r="C87" s="129"/>
      <c r="D87" s="129"/>
      <c r="E87" s="129"/>
      <c r="F87" s="130" t="s">
        <v>485</v>
      </c>
      <c r="G87" s="157">
        <f>INDEX(tbl_Shopping_Centre_Multi[],1,MATCH($J87,tbl_Shopping_Centre_Multi[#Headers],0))</f>
        <v>0</v>
      </c>
      <c r="I87" s="337"/>
      <c r="J87" s="95" t="s">
        <v>486</v>
      </c>
    </row>
    <row r="88" spans="2:10">
      <c r="B88" s="131"/>
      <c r="C88" s="132"/>
      <c r="D88" s="132"/>
      <c r="E88" s="132"/>
      <c r="F88" s="133" t="s">
        <v>84</v>
      </c>
      <c r="G88" s="139">
        <f>INDEX(tbl_Shopping_Centre_Multi[],1,MATCH($J88,tbl_Shopping_Centre_Multi[#Headers],0))</f>
        <v>7</v>
      </c>
      <c r="J88" s="95" t="s">
        <v>85</v>
      </c>
    </row>
    <row r="89" spans="2:10">
      <c r="B89" s="131"/>
      <c r="C89" s="132"/>
      <c r="D89" s="132"/>
      <c r="E89" s="132"/>
      <c r="F89" s="133" t="s">
        <v>86</v>
      </c>
      <c r="G89" s="139">
        <f>INDEX(tbl_Shopping_Centre_Multi[],1,MATCH($J89,tbl_Shopping_Centre_Multi[#Headers],0))</f>
        <v>6</v>
      </c>
      <c r="J89" s="95" t="s">
        <v>87</v>
      </c>
    </row>
    <row r="90" spans="2:10">
      <c r="B90" s="131"/>
      <c r="C90" s="132"/>
      <c r="D90" s="132"/>
      <c r="E90" s="132"/>
      <c r="F90" s="133" t="s">
        <v>487</v>
      </c>
      <c r="G90" s="157">
        <f>INDEX(tbl_Shopping_Centre_Multi[],1,MATCH($J90,tbl_Shopping_Centre_Multi[#Headers],0))</f>
        <v>0</v>
      </c>
      <c r="I90" s="337"/>
      <c r="J90" s="95" t="s">
        <v>488</v>
      </c>
    </row>
    <row r="91" spans="2:10">
      <c r="B91" s="134"/>
      <c r="C91" s="132"/>
      <c r="D91" s="132"/>
      <c r="E91" s="132"/>
      <c r="F91" s="133" t="s">
        <v>90</v>
      </c>
      <c r="G91" s="139">
        <f>INDEX(tbl_Shopping_Centre_Multi[],1,MATCH($J91,tbl_Shopping_Centre_Multi[#Headers],0))</f>
        <v>7</v>
      </c>
      <c r="J91" s="95" t="s">
        <v>91</v>
      </c>
    </row>
    <row r="92" spans="2:10">
      <c r="B92" s="135"/>
      <c r="C92" s="136"/>
      <c r="D92" s="136"/>
      <c r="E92" s="136"/>
      <c r="F92" s="137" t="s">
        <v>92</v>
      </c>
      <c r="G92" s="139">
        <f>INDEX(tbl_Shopping_Centre_Multi[],1,MATCH($J92,tbl_Shopping_Centre_Multi[#Headers],0))</f>
        <v>6</v>
      </c>
      <c r="J92" s="95" t="s">
        <v>93</v>
      </c>
    </row>
  </sheetData>
  <dataConsolidate/>
  <mergeCells count="4">
    <mergeCell ref="G3:I3"/>
    <mergeCell ref="B4:I4"/>
    <mergeCell ref="B7:I7"/>
    <mergeCell ref="D65:F65"/>
  </mergeCells>
  <conditionalFormatting sqref="C63 E63:F63 D65:F66">
    <cfRule type="expression" dxfId="1339" priority="23" stopIfTrue="1">
      <formula>($D$11="")</formula>
    </cfRule>
  </conditionalFormatting>
  <conditionalFormatting sqref="E12">
    <cfRule type="cellIs" dxfId="1338" priority="25" stopIfTrue="1" operator="between">
      <formula>0</formula>
      <formula>5</formula>
    </cfRule>
  </conditionalFormatting>
  <conditionalFormatting sqref="E14">
    <cfRule type="cellIs" dxfId="1337" priority="24" stopIfTrue="1" operator="between">
      <formula>0</formula>
      <formula>5</formula>
    </cfRule>
  </conditionalFormatting>
  <conditionalFormatting sqref="G57:G59">
    <cfRule type="expression" dxfId="1336" priority="26" stopIfTrue="1">
      <formula>(#REF!="")</formula>
    </cfRule>
    <cfRule type="expression" dxfId="1335" priority="27" stopIfTrue="1">
      <formula>OR(#REF!="ERROR: Rating must be in 0.5 star increment")</formula>
    </cfRule>
  </conditionalFormatting>
  <conditionalFormatting sqref="G73:G76">
    <cfRule type="expression" dxfId="1334" priority="9" stopIfTrue="1">
      <formula>($B$27="ERROR: Percentage breakdown must total 100%")</formula>
    </cfRule>
  </conditionalFormatting>
  <conditionalFormatting sqref="G85:G86">
    <cfRule type="expression" dxfId="1333" priority="7" stopIfTrue="1">
      <formula>($B$27="ERROR: Percentage breakdown must total 100%")</formula>
    </cfRule>
  </conditionalFormatting>
  <conditionalFormatting sqref="I18">
    <cfRule type="cellIs" dxfId="1332" priority="28" stopIfTrue="1" operator="between">
      <formula>0</formula>
      <formula>5</formula>
    </cfRule>
  </conditionalFormatting>
  <conditionalFormatting sqref="I21:I32">
    <cfRule type="expression" dxfId="1331" priority="1">
      <formula>$B21=""</formula>
    </cfRule>
  </conditionalFormatting>
  <conditionalFormatting sqref="I34:I36">
    <cfRule type="expression" dxfId="1330" priority="2">
      <formula>NOT(SUM($I$34:$I$36)=1)</formula>
    </cfRule>
  </conditionalFormatting>
  <dataValidations count="2">
    <dataValidation type="decimal" allowBlank="1" showInputMessage="1" showErrorMessage="1" sqref="I18 E12:E17 WFO12:WFO14 VVS12:VVS14 VLW12:VLW14 VCA12:VCA14 USE12:USE14 UII12:UII14 TYM12:TYM14 TOQ12:TOQ14 TEU12:TEU14 SUY12:SUY14 SLC12:SLC14 SBG12:SBG14 RRK12:RRK14 RHO12:RHO14 QXS12:QXS14 QNW12:QNW14 QEA12:QEA14 PUE12:PUE14 PKI12:PKI14 PAM12:PAM14 OQQ12:OQQ14 OGU12:OGU14 NWY12:NWY14 NNC12:NNC14 NDG12:NDG14 MTK12:MTK14 MJO12:MJO14 LZS12:LZS14 LPW12:LPW14 LGA12:LGA14 KWE12:KWE14 KMI12:KMI14 KCM12:KCM14 JSQ12:JSQ14 JIU12:JIU14 IYY12:IYY14 IPC12:IPC14 IFG12:IFG14 HVK12:HVK14 HLO12:HLO14 HBS12:HBS14 GRW12:GRW14 GIA12:GIA14 FYE12:FYE14 FOI12:FOI14 FEM12:FEM14 EUQ12:EUQ14 EKU12:EKU14 EAY12:EAY14 DRC12:DRC14 DHG12:DHG14 CXK12:CXK14 CNO12:CNO14 CDS12:CDS14 BTW12:BTW14 BKA12:BKA14 BAE12:BAE14 AQI12:AQI14 AGM12:AGM14 WQ12:WQ14 MU12:MU14 CY12:CY14 WPK12:WPK14" xr:uid="{EE0FAAA8-1F9B-4244-BEA1-A23E8FDEC48C}">
      <formula1>0</formula1>
      <formula2>6</formula2>
    </dataValidation>
    <dataValidation type="list" allowBlank="1" showInputMessage="1" showErrorMessage="1" sqref="I22" xr:uid="{EBC5F2B5-7DCE-4061-BDAB-51F0325ECF41}">
      <formula1>List_Shopping_Centre_Floor_Type</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A653A-C223-42C9-8006-D9961984ECF4}">
  <sheetPr>
    <tabColor rgb="FF00B0F0"/>
    <pageSetUpPr fitToPage="1"/>
  </sheetPr>
  <dimension ref="A1:K100"/>
  <sheetViews>
    <sheetView zoomScale="70" zoomScaleNormal="70" zoomScaleSheetLayoutView="100" workbookViewId="0">
      <selection activeCell="R18" sqref="R18"/>
    </sheetView>
  </sheetViews>
  <sheetFormatPr defaultColWidth="9.140625" defaultRowHeight="13.15"/>
  <cols>
    <col min="1" max="1" width="3.42578125" style="1" customWidth="1"/>
    <col min="2" max="2" width="19" style="1" customWidth="1"/>
    <col min="3" max="3" width="14.85546875" style="1" customWidth="1"/>
    <col min="4" max="4" width="7.42578125" style="1" customWidth="1"/>
    <col min="5" max="5" width="30.42578125" style="1" customWidth="1"/>
    <col min="6" max="6" width="21.7109375" style="1" customWidth="1"/>
    <col min="7" max="7" width="14.42578125" style="1" customWidth="1"/>
    <col min="8" max="8" width="3.5703125" style="1" customWidth="1"/>
    <col min="9" max="9" width="27.85546875" style="1" bestFit="1" customWidth="1"/>
    <col min="10" max="10" width="11.42578125" style="1" customWidth="1"/>
    <col min="11" max="16384" width="9.140625" style="1"/>
  </cols>
  <sheetData>
    <row r="1" spans="1:11" s="696" customFormat="1" ht="65.099999999999994" customHeight="1">
      <c r="J1" s="831"/>
    </row>
    <row r="2" spans="1:11" s="696" customFormat="1" ht="15" customHeight="1">
      <c r="A2" s="1"/>
      <c r="B2" s="2"/>
      <c r="C2" s="2"/>
      <c r="D2" s="2"/>
      <c r="E2" s="2"/>
      <c r="F2" s="2"/>
      <c r="G2" s="2"/>
      <c r="H2" s="2"/>
      <c r="I2" s="2"/>
      <c r="J2" s="831"/>
    </row>
    <row r="3" spans="1:11" s="696" customFormat="1" ht="59.1" customHeight="1">
      <c r="A3" s="1"/>
      <c r="B3" s="3"/>
      <c r="C3" s="4"/>
      <c r="D3" s="155"/>
      <c r="E3" s="155" t="s">
        <v>834</v>
      </c>
      <c r="F3" s="2"/>
      <c r="G3" s="846" t="s">
        <v>835</v>
      </c>
      <c r="H3" s="846"/>
      <c r="I3" s="846"/>
      <c r="J3" s="831"/>
    </row>
    <row r="4" spans="1:11" s="696" customFormat="1" ht="81" customHeight="1">
      <c r="A4" s="1"/>
      <c r="B4" s="845" t="s">
        <v>836</v>
      </c>
      <c r="C4" s="845"/>
      <c r="D4" s="845"/>
      <c r="E4" s="845"/>
      <c r="F4" s="1"/>
      <c r="J4" s="831"/>
    </row>
    <row r="5" spans="1:11" s="696" customFormat="1" ht="44.25" customHeight="1">
      <c r="A5" s="5"/>
      <c r="B5" s="52" t="s">
        <v>3</v>
      </c>
      <c r="C5" s="54" t="str">
        <f>'Read Me'!$D$5</f>
        <v>V26</v>
      </c>
      <c r="D5" s="52" t="s">
        <v>5</v>
      </c>
      <c r="E5" s="54">
        <f>'Read Me'!$F$5</f>
        <v>45254</v>
      </c>
      <c r="F5" s="55"/>
      <c r="G5" s="1"/>
      <c r="I5" s="697"/>
      <c r="J5" s="832"/>
      <c r="K5" s="698"/>
    </row>
    <row r="6" spans="1:11">
      <c r="J6" s="833"/>
    </row>
    <row r="7" spans="1:11" ht="101.25" customHeight="1">
      <c r="B7" s="847" t="s">
        <v>837</v>
      </c>
      <c r="C7" s="847"/>
      <c r="D7" s="847"/>
      <c r="E7" s="847"/>
      <c r="F7" s="847"/>
      <c r="G7" s="847"/>
      <c r="H7" s="847"/>
      <c r="I7" s="847"/>
      <c r="J7" s="833"/>
    </row>
    <row r="8" spans="1:11" ht="1.5" customHeight="1">
      <c r="B8" s="699"/>
      <c r="C8" s="55"/>
      <c r="D8" s="55"/>
      <c r="E8" s="55"/>
      <c r="F8" s="55"/>
      <c r="J8" s="833"/>
    </row>
    <row r="9" spans="1:11" ht="9.9499999999999993" customHeight="1">
      <c r="B9" s="699"/>
      <c r="C9" s="55"/>
      <c r="D9" s="55"/>
      <c r="E9" s="55"/>
      <c r="F9" s="55"/>
      <c r="J9" s="833"/>
    </row>
    <row r="10" spans="1:11" ht="1.5" customHeight="1">
      <c r="B10" s="700"/>
      <c r="C10" s="700"/>
      <c r="D10" s="700"/>
      <c r="E10" s="700"/>
      <c r="F10" s="700"/>
      <c r="G10" s="700"/>
      <c r="H10" s="700"/>
      <c r="J10" s="833"/>
    </row>
    <row r="11" spans="1:11" ht="17.25" customHeight="1">
      <c r="B11" s="701" t="s">
        <v>838</v>
      </c>
      <c r="C11" s="55"/>
      <c r="D11" s="55"/>
      <c r="E11" s="55"/>
      <c r="F11" s="55"/>
      <c r="J11" s="833"/>
    </row>
    <row r="12" spans="1:11" ht="1.5" customHeight="1">
      <c r="B12" s="699"/>
      <c r="C12" s="55"/>
      <c r="D12" s="55"/>
      <c r="E12" s="55"/>
      <c r="F12" s="55"/>
      <c r="J12" s="833"/>
    </row>
    <row r="13" spans="1:11" ht="9.9499999999999993" customHeight="1">
      <c r="B13" s="699"/>
      <c r="C13" s="55"/>
      <c r="D13" s="55"/>
      <c r="E13" s="55"/>
      <c r="F13" s="55"/>
      <c r="J13" s="833"/>
    </row>
    <row r="14" spans="1:11" ht="15.95" customHeight="1">
      <c r="B14" s="699"/>
      <c r="E14" s="849"/>
      <c r="F14" s="852" t="s">
        <v>23</v>
      </c>
      <c r="G14" s="702" t="str">
        <f>IF(MOD(E14,1)&lt;=0,"",IF(MOD(E14,1)=0.5,"","ERROR: Rating must be in 0.5 star increment"))</f>
        <v/>
      </c>
      <c r="J14" s="833"/>
    </row>
    <row r="15" spans="1:11" ht="13.5" customHeight="1">
      <c r="B15" s="702"/>
      <c r="E15" s="850"/>
      <c r="F15" s="852"/>
      <c r="J15" s="833"/>
    </row>
    <row r="16" spans="1:11" ht="17.45">
      <c r="B16" s="6"/>
      <c r="C16" s="7"/>
      <c r="D16" s="314"/>
      <c r="E16" s="6"/>
      <c r="F16" s="6"/>
      <c r="J16" s="833"/>
    </row>
    <row r="17" spans="2:10" ht="15.95" customHeight="1">
      <c r="B17" s="57"/>
      <c r="E17" s="849"/>
      <c r="F17" s="851" t="s">
        <v>23</v>
      </c>
      <c r="G17" s="58" t="str">
        <f>IF(MOD(E17,1)&lt;=0,"",IF(MOD(E17,1)=0.5,"","ERROR: Rating must be in 0.5 star increment"))</f>
        <v/>
      </c>
      <c r="J17" s="833"/>
    </row>
    <row r="18" spans="2:10" ht="15.95" customHeight="1">
      <c r="B18" s="57"/>
      <c r="E18" s="850"/>
      <c r="F18" s="851"/>
      <c r="G18" s="57"/>
      <c r="J18" s="833"/>
    </row>
    <row r="19" spans="2:10" ht="13.5" customHeight="1">
      <c r="D19" s="699"/>
      <c r="H19" s="703"/>
      <c r="I19" s="704"/>
      <c r="J19" s="833"/>
    </row>
    <row r="20" spans="2:10" ht="15" customHeight="1">
      <c r="B20" s="702"/>
      <c r="G20" s="705"/>
      <c r="H20" s="706"/>
      <c r="J20" s="833"/>
    </row>
    <row r="21" spans="2:10" ht="1.5" customHeight="1">
      <c r="B21" s="702"/>
      <c r="G21" s="705"/>
      <c r="H21" s="706"/>
      <c r="J21" s="833"/>
    </row>
    <row r="22" spans="2:10" ht="17.25" customHeight="1">
      <c r="B22" s="701" t="s">
        <v>839</v>
      </c>
      <c r="C22" s="55"/>
      <c r="D22" s="55"/>
      <c r="E22" s="55"/>
      <c r="F22" s="55"/>
      <c r="J22" s="833"/>
    </row>
    <row r="23" spans="2:10" ht="1.5" customHeight="1">
      <c r="B23" s="632"/>
      <c r="C23" s="632"/>
      <c r="D23" s="632"/>
      <c r="E23" s="632"/>
      <c r="F23" s="632"/>
      <c r="G23" s="313"/>
      <c r="H23" s="313"/>
      <c r="I23" s="313"/>
      <c r="J23" s="833"/>
    </row>
    <row r="24" spans="2:10" ht="9.9499999999999993" customHeight="1">
      <c r="B24" s="632"/>
      <c r="C24" s="632"/>
      <c r="D24" s="632"/>
      <c r="E24" s="632"/>
      <c r="F24" s="632"/>
      <c r="G24" s="313"/>
      <c r="H24" s="313"/>
      <c r="I24" s="313"/>
      <c r="J24" s="833"/>
    </row>
    <row r="25" spans="2:10" s="8" customFormat="1" ht="20.25" customHeight="1">
      <c r="B25" s="748" t="s">
        <v>25</v>
      </c>
      <c r="C25" s="749"/>
      <c r="D25" s="749"/>
      <c r="E25" s="749"/>
      <c r="F25" s="750"/>
      <c r="G25" s="751"/>
      <c r="H25" s="70"/>
      <c r="I25" s="775"/>
      <c r="J25" s="834"/>
    </row>
    <row r="26" spans="2:10" s="8" customFormat="1" ht="20.25" customHeight="1">
      <c r="B26" s="752" t="s">
        <v>840</v>
      </c>
      <c r="C26" s="707"/>
      <c r="D26" s="707"/>
      <c r="E26" s="707"/>
      <c r="F26" s="708"/>
      <c r="G26" s="753"/>
      <c r="H26" s="70"/>
      <c r="I26" s="775"/>
      <c r="J26" s="834"/>
    </row>
    <row r="27" spans="2:10" s="8" customFormat="1" ht="20.25" customHeight="1">
      <c r="B27" s="752" t="s">
        <v>841</v>
      </c>
      <c r="C27" s="707"/>
      <c r="D27" s="707"/>
      <c r="E27" s="707"/>
      <c r="F27" s="708"/>
      <c r="G27" s="753"/>
      <c r="H27" s="70"/>
      <c r="I27" s="775"/>
      <c r="J27" s="834"/>
    </row>
    <row r="28" spans="2:10" s="8" customFormat="1" ht="20.25" customHeight="1">
      <c r="B28" s="752" t="s">
        <v>842</v>
      </c>
      <c r="C28" s="707"/>
      <c r="D28" s="707"/>
      <c r="E28" s="707"/>
      <c r="F28" s="708"/>
      <c r="G28" s="753"/>
      <c r="H28" s="70"/>
      <c r="I28" s="775"/>
      <c r="J28" s="834"/>
    </row>
    <row r="29" spans="2:10" s="8" customFormat="1" ht="20.25" customHeight="1">
      <c r="B29" s="752" t="s">
        <v>843</v>
      </c>
      <c r="C29" s="707"/>
      <c r="D29" s="707"/>
      <c r="E29" s="707"/>
      <c r="F29" s="708"/>
      <c r="G29" s="753"/>
      <c r="H29" s="70"/>
      <c r="I29" s="775"/>
      <c r="J29" s="834"/>
    </row>
    <row r="30" spans="2:10" s="8" customFormat="1" ht="20.25" customHeight="1">
      <c r="B30" s="752" t="s">
        <v>844</v>
      </c>
      <c r="C30" s="707"/>
      <c r="D30" s="707"/>
      <c r="E30" s="707"/>
      <c r="F30" s="708"/>
      <c r="G30" s="753"/>
      <c r="H30" s="70"/>
      <c r="I30" s="775"/>
      <c r="J30" s="834"/>
    </row>
    <row r="31" spans="2:10" s="8" customFormat="1" ht="20.25" customHeight="1">
      <c r="B31" s="752" t="s">
        <v>845</v>
      </c>
      <c r="C31" s="707"/>
      <c r="D31" s="707"/>
      <c r="E31" s="707"/>
      <c r="F31" s="708"/>
      <c r="G31" s="753"/>
      <c r="H31" s="70"/>
      <c r="I31" s="775"/>
      <c r="J31" s="834"/>
    </row>
    <row r="32" spans="2:10" s="8" customFormat="1" ht="20.25" customHeight="1">
      <c r="B32" s="752" t="s">
        <v>846</v>
      </c>
      <c r="C32" s="707"/>
      <c r="D32" s="707"/>
      <c r="E32" s="707"/>
      <c r="F32" s="708"/>
      <c r="G32" s="753"/>
      <c r="H32" s="70"/>
      <c r="I32" s="775"/>
      <c r="J32" s="834"/>
    </row>
    <row r="33" spans="2:10" s="8" customFormat="1" ht="20.25" customHeight="1">
      <c r="B33" s="752" t="s">
        <v>847</v>
      </c>
      <c r="C33" s="746"/>
      <c r="D33" s="746"/>
      <c r="E33" s="746"/>
      <c r="F33" s="747"/>
      <c r="G33" s="753"/>
      <c r="H33" s="70"/>
      <c r="I33" s="775"/>
      <c r="J33" s="834"/>
    </row>
    <row r="34" spans="2:10" s="8" customFormat="1" ht="20.25" customHeight="1">
      <c r="B34" s="752" t="s">
        <v>848</v>
      </c>
      <c r="C34" s="707"/>
      <c r="D34" s="707"/>
      <c r="E34" s="707"/>
      <c r="F34" s="708"/>
      <c r="G34" s="753"/>
      <c r="H34" s="70"/>
      <c r="I34" s="775"/>
      <c r="J34" s="834"/>
    </row>
    <row r="35" spans="2:10" s="8" customFormat="1" ht="20.25" customHeight="1">
      <c r="B35" s="752" t="s">
        <v>849</v>
      </c>
      <c r="C35" s="707"/>
      <c r="D35" s="707"/>
      <c r="E35" s="707"/>
      <c r="F35" s="708"/>
      <c r="G35" s="753"/>
      <c r="H35" s="70"/>
      <c r="I35" s="775"/>
      <c r="J35" s="835"/>
    </row>
    <row r="36" spans="2:10" s="8" customFormat="1" ht="20.25" customHeight="1">
      <c r="B36" s="754" t="s">
        <v>850</v>
      </c>
      <c r="C36" s="755"/>
      <c r="D36" s="755"/>
      <c r="E36" s="755"/>
      <c r="F36" s="756"/>
      <c r="G36" s="757"/>
      <c r="H36" s="70"/>
      <c r="I36" s="744"/>
      <c r="J36" s="834"/>
    </row>
    <row r="37" spans="2:10" s="8" customFormat="1" ht="3" customHeight="1">
      <c r="B37" s="709"/>
      <c r="C37" s="707"/>
      <c r="D37" s="707"/>
      <c r="E37" s="707"/>
      <c r="F37" s="708"/>
      <c r="H37" s="70"/>
      <c r="I37" s="710"/>
      <c r="J37" s="834"/>
    </row>
    <row r="38" spans="2:10" s="8" customFormat="1" ht="20.100000000000001" customHeight="1">
      <c r="B38" s="748" t="s">
        <v>27</v>
      </c>
      <c r="C38" s="758"/>
      <c r="D38" s="758"/>
      <c r="E38" s="750"/>
      <c r="F38" s="759"/>
      <c r="G38" s="760" t="s">
        <v>321</v>
      </c>
      <c r="H38" s="70"/>
      <c r="I38" s="745"/>
      <c r="J38" s="834"/>
    </row>
    <row r="39" spans="2:10" s="8" customFormat="1" ht="20.100000000000001" customHeight="1">
      <c r="B39" s="761" t="str">
        <f>IF(SUM(I38:I41)=1,"","ERROR: Percentage breakdown must total 100%")</f>
        <v>ERROR: Percentage breakdown must total 100%</v>
      </c>
      <c r="C39" s="13"/>
      <c r="D39" s="13"/>
      <c r="F39" s="17"/>
      <c r="G39" s="762" t="s">
        <v>322</v>
      </c>
      <c r="H39" s="70"/>
      <c r="I39" s="745"/>
      <c r="J39" s="834"/>
    </row>
    <row r="40" spans="2:10" s="8" customFormat="1" ht="20.100000000000001" customHeight="1">
      <c r="B40" s="752"/>
      <c r="C40" s="13"/>
      <c r="D40" s="13"/>
      <c r="F40" s="17"/>
      <c r="G40" s="762" t="s">
        <v>851</v>
      </c>
      <c r="H40" s="70"/>
      <c r="I40" s="745"/>
      <c r="J40" s="834"/>
    </row>
    <row r="41" spans="2:10" s="8" customFormat="1" ht="20.100000000000001" customHeight="1">
      <c r="B41" s="763"/>
      <c r="C41" s="764"/>
      <c r="D41" s="764"/>
      <c r="E41" s="765"/>
      <c r="F41" s="756"/>
      <c r="G41" s="766" t="s">
        <v>323</v>
      </c>
      <c r="H41" s="70"/>
      <c r="I41" s="745"/>
      <c r="J41" s="834"/>
    </row>
    <row r="42" spans="2:10" ht="19.5" customHeight="1" thickBot="1">
      <c r="B42" s="711"/>
      <c r="C42" s="712"/>
      <c r="D42" s="712"/>
      <c r="E42" s="712"/>
      <c r="F42" s="712"/>
      <c r="G42" s="705"/>
      <c r="J42" s="833"/>
    </row>
    <row r="43" spans="2:10" ht="18.600000000000001" thickTop="1" thickBot="1">
      <c r="B43" s="92" t="s">
        <v>852</v>
      </c>
      <c r="C43" s="87"/>
      <c r="D43" s="87"/>
      <c r="E43" s="87"/>
      <c r="F43" s="87"/>
      <c r="G43" s="87"/>
      <c r="H43" s="87"/>
      <c r="I43" s="91"/>
      <c r="J43" s="833"/>
    </row>
    <row r="44" spans="2:10" ht="18" customHeight="1" thickTop="1">
      <c r="B44" s="632"/>
      <c r="C44" s="632"/>
      <c r="D44" s="632"/>
      <c r="E44" s="632"/>
      <c r="F44" s="632"/>
      <c r="G44" s="313"/>
      <c r="H44" s="313"/>
      <c r="I44" s="313"/>
      <c r="J44" s="833"/>
    </row>
    <row r="45" spans="2:10" ht="18" customHeight="1">
      <c r="C45" s="16" t="s">
        <v>853</v>
      </c>
      <c r="E45" s="713"/>
      <c r="F45" s="713"/>
      <c r="G45" s="65" t="e">
        <f>INDEX(tbl_School_Multi[],1,MATCH($J45,tbl_School_Multi[#Headers],0))</f>
        <v>#DIV/0!</v>
      </c>
      <c r="H45" s="804"/>
      <c r="I45" s="803" t="s">
        <v>33</v>
      </c>
      <c r="J45" s="834" t="s">
        <v>320</v>
      </c>
    </row>
    <row r="46" spans="2:10" ht="18" customHeight="1">
      <c r="C46" s="16"/>
      <c r="E46" s="713"/>
      <c r="F46" s="713"/>
      <c r="G46" s="804"/>
      <c r="H46" s="804"/>
      <c r="I46" s="8"/>
      <c r="J46" s="836"/>
    </row>
    <row r="47" spans="2:10" ht="18" customHeight="1">
      <c r="C47" s="16" t="str">
        <f>CONCATENATE("Maximum Benchmarking Emissions at ",School_Target_Energy, " Star NABERS Energy")</f>
        <v>Maximum Benchmarking Emissions at  Star NABERS Energy</v>
      </c>
      <c r="E47" s="713"/>
      <c r="F47" s="713"/>
      <c r="G47" s="65" t="e">
        <f>INDEX(tbl_School_Multi[],1,MATCH($J47,tbl_School_Multi[#Headers],0))</f>
        <v>#DIV/0!</v>
      </c>
      <c r="H47" s="8"/>
      <c r="I47" s="803" t="s">
        <v>33</v>
      </c>
      <c r="J47" s="834" t="s">
        <v>35</v>
      </c>
    </row>
    <row r="48" spans="2:10" ht="18" customHeight="1">
      <c r="E48" s="713"/>
      <c r="F48" s="713"/>
      <c r="G48" s="8"/>
      <c r="H48" s="8"/>
      <c r="I48" s="8"/>
      <c r="J48" s="834"/>
    </row>
    <row r="49" spans="2:11" ht="18" customHeight="1">
      <c r="E49" s="713"/>
      <c r="F49" s="713"/>
      <c r="G49" s="8"/>
      <c r="H49" s="8"/>
      <c r="I49" s="8"/>
      <c r="J49" s="834"/>
    </row>
    <row r="50" spans="2:11" ht="18" customHeight="1">
      <c r="C50" s="29" t="s">
        <v>854</v>
      </c>
      <c r="E50" s="713"/>
      <c r="F50" s="713"/>
      <c r="G50" s="65" t="e">
        <f>INDEX(tbl_School_Multi[],1,MATCH($J50,tbl_School_Multi[#Headers],0))</f>
        <v>#DIV/0!</v>
      </c>
      <c r="H50" s="804"/>
      <c r="I50" s="803" t="s">
        <v>33</v>
      </c>
      <c r="J50" s="834" t="s">
        <v>855</v>
      </c>
    </row>
    <row r="51" spans="2:11" ht="18" customHeight="1">
      <c r="C51" s="16"/>
      <c r="E51" s="713"/>
      <c r="F51" s="713"/>
      <c r="G51" s="804"/>
      <c r="H51" s="804"/>
      <c r="I51" s="8"/>
      <c r="J51" s="834"/>
    </row>
    <row r="52" spans="2:11" ht="18" customHeight="1">
      <c r="C52" s="29" t="s">
        <v>856</v>
      </c>
      <c r="E52" s="713"/>
      <c r="F52" s="713"/>
      <c r="G52" s="65" t="e">
        <f>INDEX(tbl_School_Multi[],1,MATCH($J52,tbl_School_Multi[#Headers],0))</f>
        <v>#DIV/0!</v>
      </c>
      <c r="H52" s="804"/>
      <c r="I52" s="803" t="s">
        <v>33</v>
      </c>
      <c r="J52" s="834" t="s">
        <v>857</v>
      </c>
    </row>
    <row r="53" spans="2:11" ht="18" customHeight="1">
      <c r="E53" s="713"/>
      <c r="F53" s="713"/>
      <c r="G53" s="8"/>
      <c r="H53" s="8"/>
      <c r="I53" s="8"/>
      <c r="J53" s="834"/>
    </row>
    <row r="54" spans="2:11" ht="18" customHeight="1">
      <c r="E54" s="713"/>
      <c r="F54" s="713"/>
      <c r="G54" s="8"/>
      <c r="H54" s="8"/>
      <c r="I54" s="8"/>
      <c r="J54" s="834"/>
    </row>
    <row r="55" spans="2:11" ht="18" customHeight="1">
      <c r="B55" s="328"/>
      <c r="C55" s="16" t="str">
        <f>CONCATENATE("Energy Intensity at ",School_Target_Energy, " Star NABERS Energy")</f>
        <v>Energy Intensity at  Star NABERS Energy</v>
      </c>
      <c r="D55" s="328"/>
      <c r="E55" s="328"/>
      <c r="F55" s="328"/>
      <c r="G55" s="379" t="e">
        <f>INDEX(tbl_School_Multi[],1,MATCH($J55,tbl_School_Multi[#Headers],0))</f>
        <v>#DIV/0!</v>
      </c>
      <c r="H55" s="8"/>
      <c r="I55" s="803" t="s">
        <v>42</v>
      </c>
      <c r="J55" s="834" t="s">
        <v>43</v>
      </c>
    </row>
    <row r="56" spans="2:11" ht="18" customHeight="1">
      <c r="D56" s="769"/>
      <c r="E56" s="769"/>
      <c r="F56" s="714"/>
      <c r="G56" s="715"/>
      <c r="H56" s="716"/>
      <c r="I56" s="69"/>
      <c r="J56" s="833"/>
    </row>
    <row r="57" spans="2:11" ht="18" customHeight="1">
      <c r="C57" s="720"/>
      <c r="D57" s="720"/>
      <c r="E57" s="720"/>
      <c r="F57" s="718"/>
      <c r="G57" s="719"/>
      <c r="H57" s="716"/>
      <c r="I57" s="717"/>
      <c r="J57" s="833"/>
    </row>
    <row r="58" spans="2:11" ht="18" customHeight="1">
      <c r="C58" s="16" t="s">
        <v>44</v>
      </c>
      <c r="I58" s="717"/>
      <c r="J58" s="833"/>
    </row>
    <row r="59" spans="2:11" s="723" customFormat="1" ht="18" customHeight="1">
      <c r="B59" s="721"/>
      <c r="C59" s="721"/>
      <c r="D59" s="721"/>
      <c r="E59" s="721"/>
      <c r="F59" s="721"/>
      <c r="G59" s="722"/>
      <c r="I59" s="724"/>
      <c r="J59" s="833"/>
    </row>
    <row r="60" spans="2:11" s="723" customFormat="1" ht="18" customHeight="1">
      <c r="F60" s="770" t="s">
        <v>858</v>
      </c>
      <c r="G60" s="65" t="e">
        <f>INDEX(tbl_School_Multi[],1,MATCH($J60,tbl_School_Multi[#Headers],0))</f>
        <v>#DIV/0!</v>
      </c>
      <c r="H60" s="771"/>
      <c r="I60" s="772" t="s">
        <v>859</v>
      </c>
      <c r="J60" s="833" t="s">
        <v>47</v>
      </c>
      <c r="K60" s="773"/>
    </row>
    <row r="61" spans="2:11" s="723" customFormat="1" ht="18" customHeight="1">
      <c r="B61" s="721"/>
      <c r="F61" s="770" t="s">
        <v>860</v>
      </c>
      <c r="G61" s="65" t="e">
        <f>INDEX(tbl_School_Multi[],1,MATCH($J61,tbl_School_Multi[#Headers],0))</f>
        <v>#DIV/0!</v>
      </c>
      <c r="H61" s="771"/>
      <c r="I61" s="772" t="s">
        <v>861</v>
      </c>
      <c r="J61" s="833" t="s">
        <v>50</v>
      </c>
      <c r="K61" s="774"/>
    </row>
    <row r="62" spans="2:11" s="723" customFormat="1" ht="18" customHeight="1">
      <c r="B62" s="328"/>
      <c r="F62" s="770" t="s">
        <v>862</v>
      </c>
      <c r="G62" s="65" t="e">
        <f>INDEX(tbl_School_Multi[],1,MATCH($J62,tbl_School_Multi[#Headers],0))</f>
        <v>#DIV/0!</v>
      </c>
      <c r="H62" s="771"/>
      <c r="I62" s="772" t="s">
        <v>863</v>
      </c>
      <c r="J62" s="834" t="s">
        <v>864</v>
      </c>
      <c r="K62" s="772"/>
    </row>
    <row r="63" spans="2:11" s="723" customFormat="1" ht="18" customHeight="1">
      <c r="B63" s="328"/>
      <c r="F63" s="770" t="s">
        <v>865</v>
      </c>
      <c r="G63" s="65" t="e">
        <f>INDEX(tbl_School_Multi[],1,MATCH($J63,tbl_School_Multi[#Headers],0))</f>
        <v>#DIV/0!</v>
      </c>
      <c r="H63" s="771"/>
      <c r="I63" s="772" t="s">
        <v>866</v>
      </c>
      <c r="J63" s="834" t="s">
        <v>53</v>
      </c>
      <c r="K63" s="774"/>
    </row>
    <row r="64" spans="2:11" s="723" customFormat="1" ht="18" customHeight="1">
      <c r="B64" s="726"/>
      <c r="C64" s="727"/>
      <c r="D64" s="728"/>
      <c r="E64" s="729"/>
      <c r="F64" s="730"/>
      <c r="G64" s="731"/>
      <c r="H64" s="732"/>
      <c r="I64" s="732"/>
      <c r="J64" s="833"/>
    </row>
    <row r="65" spans="2:10" s="723" customFormat="1" ht="18" customHeight="1">
      <c r="B65" s="328"/>
      <c r="C65" s="713"/>
      <c r="D65" s="733"/>
      <c r="E65" s="733"/>
      <c r="F65" s="733"/>
      <c r="G65" s="733"/>
      <c r="I65" s="724"/>
      <c r="J65" s="833"/>
    </row>
    <row r="66" spans="2:10" s="734" customFormat="1" ht="18" customHeight="1">
      <c r="B66" s="600"/>
      <c r="C66" s="15"/>
      <c r="D66" s="15"/>
      <c r="G66" s="15"/>
      <c r="J66" s="837"/>
    </row>
    <row r="67" spans="2:10" s="734" customFormat="1" ht="18" customHeight="1">
      <c r="B67" s="735"/>
      <c r="C67" s="736" t="s">
        <v>867</v>
      </c>
      <c r="E67" s="600"/>
      <c r="F67" s="600"/>
      <c r="G67" s="600"/>
      <c r="H67" s="737"/>
      <c r="I67" s="1"/>
      <c r="J67" s="837"/>
    </row>
    <row r="68" spans="2:10" s="734" customFormat="1" ht="18" customHeight="1">
      <c r="B68" s="735"/>
      <c r="C68" s="735"/>
      <c r="D68" s="813"/>
      <c r="E68" s="813"/>
      <c r="F68" s="813"/>
      <c r="G68" s="814" t="e">
        <f>INDEX(tbl_School_Multi[],1,MATCH($J68,tbl_School_Multi[#Headers],0))</f>
        <v>#DIV/0!</v>
      </c>
      <c r="I68" s="739" t="s">
        <v>54</v>
      </c>
      <c r="J68" s="837" t="s">
        <v>480</v>
      </c>
    </row>
    <row r="69" spans="2:10" s="734" customFormat="1" ht="18" customHeight="1">
      <c r="B69" s="735"/>
      <c r="C69" s="76" t="str">
        <f>CONCATENATE("Maximum Water Consumption at ",E17, " Star NABERS Water")</f>
        <v>Maximum Water Consumption at  Star NABERS Water</v>
      </c>
      <c r="E69" s="15"/>
      <c r="F69" s="1"/>
      <c r="H69" s="1"/>
      <c r="I69" s="15"/>
      <c r="J69" s="837"/>
    </row>
    <row r="70" spans="2:10" ht="18" customHeight="1">
      <c r="B70" s="600"/>
      <c r="C70" s="600"/>
      <c r="D70" s="813"/>
      <c r="E70" s="813"/>
      <c r="F70" s="813"/>
      <c r="G70" s="814" t="e">
        <f>INDEX(tbl_School_Multi[],1,MATCH($J70,tbl_School_Multi[#Headers],0))</f>
        <v>#DIV/0!</v>
      </c>
      <c r="I70" s="739" t="s">
        <v>54</v>
      </c>
      <c r="J70" s="833" t="s">
        <v>55</v>
      </c>
    </row>
    <row r="71" spans="2:10" ht="18" customHeight="1">
      <c r="B71" s="600"/>
      <c r="C71" s="23" t="str">
        <f>CONCATENATE("Water Intensity at ",School_Target_Water, " Star NABERS Water")</f>
        <v>Water Intensity at  Star NABERS Water</v>
      </c>
      <c r="D71" s="738"/>
      <c r="E71" s="738"/>
      <c r="F71" s="738"/>
      <c r="I71" s="739"/>
      <c r="J71" s="833"/>
    </row>
    <row r="72" spans="2:10" ht="18" customHeight="1">
      <c r="B72" s="600"/>
      <c r="G72" s="815" t="e">
        <f>INDEX(tbl_School_Multi[],1,MATCH($J72,tbl_School_Multi[#Headers],0))</f>
        <v>#DIV/0!</v>
      </c>
      <c r="H72" s="32"/>
      <c r="I72" s="337" t="s">
        <v>56</v>
      </c>
      <c r="J72" s="833" t="s">
        <v>57</v>
      </c>
    </row>
    <row r="73" spans="2:10" ht="18" customHeight="1">
      <c r="B73" s="600"/>
      <c r="C73" s="600"/>
      <c r="D73" s="738"/>
      <c r="E73" s="738"/>
      <c r="F73" s="738"/>
      <c r="G73" s="739"/>
      <c r="I73" s="740"/>
      <c r="J73" s="833"/>
    </row>
    <row r="74" spans="2:10" ht="18" customHeight="1">
      <c r="B74" s="741"/>
      <c r="C74" s="742"/>
      <c r="D74" s="741"/>
      <c r="E74" s="741"/>
      <c r="F74" s="741"/>
      <c r="G74" s="741"/>
      <c r="H74" s="741"/>
      <c r="I74" s="741"/>
      <c r="J74" s="833"/>
    </row>
    <row r="75" spans="2:10">
      <c r="B75" s="743"/>
      <c r="C75" s="743"/>
      <c r="D75" s="743"/>
      <c r="E75" s="743"/>
      <c r="F75" s="743"/>
      <c r="J75" s="833"/>
    </row>
    <row r="76" spans="2:10" s="594" customFormat="1" ht="19.5" customHeight="1" thickBot="1">
      <c r="B76" s="600"/>
      <c r="C76" s="599"/>
      <c r="D76" s="599"/>
      <c r="E76" s="599"/>
      <c r="F76" s="599"/>
      <c r="G76" s="599"/>
      <c r="H76" s="14"/>
      <c r="I76" s="1"/>
      <c r="J76" s="838"/>
    </row>
    <row r="77" spans="2:10" ht="18.600000000000001" thickTop="1" thickBot="1">
      <c r="B77" s="92" t="s">
        <v>868</v>
      </c>
      <c r="C77" s="87"/>
      <c r="D77" s="87"/>
      <c r="E77" s="87"/>
      <c r="F77" s="87"/>
      <c r="G77" s="87"/>
      <c r="H77" s="87"/>
      <c r="I77" s="91"/>
      <c r="J77" s="833"/>
    </row>
    <row r="78" spans="2:10" ht="13.9" thickTop="1">
      <c r="J78" s="833"/>
    </row>
    <row r="79" spans="2:10">
      <c r="B79" s="668" t="s">
        <v>59</v>
      </c>
      <c r="C79" s="669"/>
      <c r="D79" s="669"/>
      <c r="E79" s="669"/>
      <c r="F79" s="670" t="s">
        <v>60</v>
      </c>
      <c r="G79" s="356"/>
      <c r="J79" s="833"/>
    </row>
    <row r="80" spans="2:10">
      <c r="B80" s="19"/>
      <c r="C80" s="20"/>
      <c r="D80" s="20"/>
      <c r="E80" s="20"/>
      <c r="F80" s="21" t="s">
        <v>61</v>
      </c>
      <c r="G80" s="356"/>
      <c r="J80" s="833"/>
    </row>
    <row r="81" spans="2:10">
      <c r="B81" s="19"/>
      <c r="C81" s="20"/>
      <c r="D81" s="20"/>
      <c r="E81" s="20"/>
      <c r="F81" s="21" t="s">
        <v>62</v>
      </c>
      <c r="G81" s="356"/>
      <c r="J81" s="833"/>
    </row>
    <row r="82" spans="2:10">
      <c r="B82" s="100"/>
      <c r="C82" s="20"/>
      <c r="D82" s="20"/>
      <c r="E82" s="20"/>
      <c r="F82" s="21" t="s">
        <v>869</v>
      </c>
      <c r="G82" s="356"/>
      <c r="J82" s="833"/>
    </row>
    <row r="83" spans="2:10">
      <c r="B83" s="18"/>
      <c r="C83" s="99"/>
      <c r="D83" s="99"/>
      <c r="E83" s="99"/>
      <c r="F83" s="21" t="s">
        <v>63</v>
      </c>
      <c r="G83" s="357"/>
      <c r="J83" s="833"/>
    </row>
    <row r="84" spans="2:10">
      <c r="B84" s="111" t="s">
        <v>64</v>
      </c>
      <c r="C84" s="103"/>
      <c r="D84" s="103"/>
      <c r="E84" s="103"/>
      <c r="F84" s="104" t="s">
        <v>870</v>
      </c>
      <c r="G84" s="821" t="e">
        <f>INDEX(tbl_School_Multi[],1,MATCH($J84,tbl_School_Multi[#Headers],0))</f>
        <v>#N/A</v>
      </c>
      <c r="I84" s="334"/>
      <c r="J84" s="833" t="s">
        <v>871</v>
      </c>
    </row>
    <row r="85" spans="2:10">
      <c r="B85" s="114"/>
      <c r="C85" s="106"/>
      <c r="D85" s="106"/>
      <c r="E85" s="106"/>
      <c r="F85" s="107" t="s">
        <v>67</v>
      </c>
      <c r="G85" s="821" t="e">
        <f>INDEX(tbl_School_Multi[],1,MATCH($J85,tbl_School_Multi[#Headers],0))</f>
        <v>#N/A</v>
      </c>
      <c r="J85" s="833" t="s">
        <v>556</v>
      </c>
    </row>
    <row r="86" spans="2:10">
      <c r="B86" s="105"/>
      <c r="C86" s="106"/>
      <c r="D86" s="106"/>
      <c r="E86" s="106"/>
      <c r="F86" s="107" t="s">
        <v>69</v>
      </c>
      <c r="G86" s="821" t="e">
        <f>INDEX(tbl_School_Multi[],1,MATCH($J86,tbl_School_Multi[#Headers],0))</f>
        <v>#N/A</v>
      </c>
      <c r="H86" s="17"/>
      <c r="J86" s="833" t="s">
        <v>555</v>
      </c>
    </row>
    <row r="87" spans="2:10">
      <c r="B87" s="114"/>
      <c r="C87" s="106"/>
      <c r="D87" s="106"/>
      <c r="E87" s="106"/>
      <c r="F87" s="107" t="s">
        <v>872</v>
      </c>
      <c r="G87" s="821" t="e">
        <f>INDEX(tbl_School_Multi[],1,MATCH($J87,tbl_School_Multi[#Headers],0))</f>
        <v>#N/A</v>
      </c>
      <c r="H87" s="17"/>
      <c r="I87" s="334"/>
      <c r="J87" s="833" t="s">
        <v>873</v>
      </c>
    </row>
    <row r="88" spans="2:10">
      <c r="B88" s="105"/>
      <c r="C88" s="106"/>
      <c r="D88" s="106"/>
      <c r="E88" s="106"/>
      <c r="F88" s="107" t="s">
        <v>73</v>
      </c>
      <c r="G88" s="821" t="e">
        <f>INDEX(tbl_School_Multi[],1,MATCH($J88,tbl_School_Multi[#Headers],0))</f>
        <v>#N/A</v>
      </c>
      <c r="H88" s="17"/>
      <c r="J88" s="833" t="s">
        <v>874</v>
      </c>
    </row>
    <row r="89" spans="2:10">
      <c r="B89" s="108"/>
      <c r="C89" s="109"/>
      <c r="D89" s="109"/>
      <c r="E89" s="109"/>
      <c r="F89" s="110" t="s">
        <v>75</v>
      </c>
      <c r="G89" s="821" t="e">
        <f>INDEX(tbl_School_Multi[],1,MATCH($J89,tbl_School_Multi[#Headers],0))</f>
        <v>#N/A</v>
      </c>
      <c r="H89" s="17"/>
      <c r="J89" s="833" t="s">
        <v>875</v>
      </c>
    </row>
    <row r="90" spans="2:10">
      <c r="B90" s="13"/>
      <c r="C90" s="13"/>
      <c r="D90" s="13"/>
      <c r="E90" s="65"/>
      <c r="F90" s="65"/>
      <c r="G90" s="65"/>
      <c r="H90" s="17"/>
      <c r="J90" s="833"/>
    </row>
    <row r="91" spans="2:10">
      <c r="J91" s="833"/>
    </row>
    <row r="92" spans="2:10">
      <c r="B92" s="112" t="s">
        <v>77</v>
      </c>
      <c r="C92" s="113"/>
      <c r="D92" s="113"/>
      <c r="E92" s="113"/>
      <c r="F92" s="102" t="s">
        <v>78</v>
      </c>
      <c r="G92" s="356"/>
      <c r="J92" s="833"/>
    </row>
    <row r="93" spans="2:10">
      <c r="B93" s="115"/>
      <c r="C93" s="99"/>
      <c r="D93" s="99"/>
      <c r="E93" s="99"/>
      <c r="F93" s="101" t="s">
        <v>79</v>
      </c>
      <c r="G93" s="357"/>
      <c r="H93" s="12"/>
      <c r="J93" s="833"/>
    </row>
    <row r="94" spans="2:10">
      <c r="B94" s="128" t="s">
        <v>80</v>
      </c>
      <c r="C94" s="129"/>
      <c r="D94" s="129"/>
      <c r="E94" s="129"/>
      <c r="F94" s="130" t="s">
        <v>876</v>
      </c>
      <c r="G94" s="830" t="e">
        <f>INDEX(tbl_School_Multi[],1,MATCH($J94,tbl_School_Multi[#Headers],0))</f>
        <v>#DIV/0!</v>
      </c>
      <c r="I94" s="337"/>
      <c r="J94" s="833" t="s">
        <v>877</v>
      </c>
    </row>
    <row r="95" spans="2:10">
      <c r="B95" s="131"/>
      <c r="C95" s="132"/>
      <c r="D95" s="132"/>
      <c r="E95" s="132"/>
      <c r="F95" s="133" t="s">
        <v>84</v>
      </c>
      <c r="G95" s="830" t="e">
        <f>INDEX(tbl_School_Multi[],1,MATCH($J95,tbl_School_Multi[#Headers],0))</f>
        <v>#DIV/0!</v>
      </c>
      <c r="J95" s="833" t="s">
        <v>878</v>
      </c>
    </row>
    <row r="96" spans="2:10">
      <c r="B96" s="131"/>
      <c r="C96" s="132"/>
      <c r="D96" s="132"/>
      <c r="E96" s="132"/>
      <c r="F96" s="133" t="s">
        <v>86</v>
      </c>
      <c r="G96" s="830" t="e">
        <f>INDEX(tbl_School_Multi[],1,MATCH($J96,tbl_School_Multi[#Headers],0))</f>
        <v>#DIV/0!</v>
      </c>
      <c r="J96" s="833" t="s">
        <v>879</v>
      </c>
    </row>
    <row r="97" spans="2:10">
      <c r="B97" s="131"/>
      <c r="C97" s="132"/>
      <c r="D97" s="132"/>
      <c r="E97" s="132"/>
      <c r="F97" s="133" t="s">
        <v>880</v>
      </c>
      <c r="G97" s="830" t="e">
        <f>INDEX(tbl_School_Multi[],1,MATCH($J97,tbl_School_Multi[#Headers],0))</f>
        <v>#DIV/0!</v>
      </c>
      <c r="I97" s="337"/>
      <c r="J97" s="833" t="s">
        <v>881</v>
      </c>
    </row>
    <row r="98" spans="2:10">
      <c r="B98" s="134"/>
      <c r="C98" s="132"/>
      <c r="D98" s="132"/>
      <c r="E98" s="132"/>
      <c r="F98" s="133" t="s">
        <v>90</v>
      </c>
      <c r="G98" s="830" t="e">
        <f>INDEX(tbl_School_Multi[],1,MATCH($J98,tbl_School_Multi[#Headers],0))</f>
        <v>#DIV/0!</v>
      </c>
      <c r="J98" s="833" t="s">
        <v>882</v>
      </c>
    </row>
    <row r="99" spans="2:10">
      <c r="B99" s="135"/>
      <c r="C99" s="136"/>
      <c r="D99" s="136"/>
      <c r="E99" s="136"/>
      <c r="F99" s="137" t="s">
        <v>92</v>
      </c>
      <c r="G99" s="830" t="e">
        <f>INDEX(tbl_School_Multi[],1,MATCH($J99,tbl_School_Multi[#Headers],0))</f>
        <v>#DIV/0!</v>
      </c>
      <c r="J99" s="833" t="s">
        <v>883</v>
      </c>
    </row>
    <row r="100" spans="2:10">
      <c r="J100" s="833"/>
    </row>
  </sheetData>
  <sheetProtection algorithmName="SHA-512" hashValue="KgdJLBM011knfUHR8/uEPLIJ7jJCUvyU5fSg9ypG8e2ueO2Oo1/z3j9853eANIbDGSCkmIs/DDmapTH0jKm8Ww==" saltValue="j86cuioxLWqG79GOJdOQdg==" spinCount="100000" sheet="1" formatCells="0" formatColumns="0" formatRows="0" insertColumns="0" insertRows="0" insertHyperlinks="0" deleteColumns="0" deleteRows="0" sort="0" autoFilter="0" pivotTables="0"/>
  <protectedRanges>
    <protectedRange sqref="H25:I41" name="Range4"/>
    <protectedRange sqref="E14" name="Range2"/>
  </protectedRanges>
  <mergeCells count="7">
    <mergeCell ref="E17:E18"/>
    <mergeCell ref="F17:F18"/>
    <mergeCell ref="B7:I7"/>
    <mergeCell ref="G3:I3"/>
    <mergeCell ref="B4:E4"/>
    <mergeCell ref="E14:E15"/>
    <mergeCell ref="F14:F15"/>
  </mergeCells>
  <conditionalFormatting sqref="B15 B20:B21 H20:H21">
    <cfRule type="expression" dxfId="1329" priority="21" stopIfTrue="1">
      <formula>$B$15="stars"</formula>
    </cfRule>
  </conditionalFormatting>
  <conditionalFormatting sqref="D68:F68 D70:F71 D73:F73">
    <cfRule type="expression" dxfId="1328" priority="63" stopIfTrue="1">
      <formula>($G$17="ERROR: Rating must be in 0.5 star increment")</formula>
    </cfRule>
  </conditionalFormatting>
  <conditionalFormatting sqref="E14 G20:G21">
    <cfRule type="cellIs" dxfId="1327" priority="20" stopIfTrue="1" operator="between">
      <formula>0</formula>
      <formula>5</formula>
    </cfRule>
  </conditionalFormatting>
  <conditionalFormatting sqref="E17">
    <cfRule type="cellIs" dxfId="1326" priority="13" stopIfTrue="1" operator="between">
      <formula>0</formula>
      <formula>5</formula>
    </cfRule>
  </conditionalFormatting>
  <conditionalFormatting sqref="G14">
    <cfRule type="expression" dxfId="1325" priority="19" stopIfTrue="1">
      <formula>#REF!="stars"</formula>
    </cfRule>
  </conditionalFormatting>
  <conditionalFormatting sqref="C57:E57">
    <cfRule type="expression" dxfId="1324" priority="57" stopIfTrue="1">
      <formula>($G$14="ERROR: Rating must be in 0.5 star increment")</formula>
    </cfRule>
  </conditionalFormatting>
  <conditionalFormatting sqref="G79:G83">
    <cfRule type="expression" dxfId="1323" priority="4" stopIfTrue="1">
      <formula>($B$24="ERROR: Percentage breakdown must total 100%")</formula>
    </cfRule>
  </conditionalFormatting>
  <conditionalFormatting sqref="G92:G93">
    <cfRule type="expression" dxfId="1322" priority="3" stopIfTrue="1">
      <formula>($B$24="ERROR: Percentage breakdown must total 100%")</formula>
    </cfRule>
  </conditionalFormatting>
  <conditionalFormatting sqref="H19">
    <cfRule type="cellIs" dxfId="1321" priority="14" stopIfTrue="1" operator="between">
      <formula>0</formula>
      <formula>5</formula>
    </cfRule>
  </conditionalFormatting>
  <conditionalFormatting sqref="I19">
    <cfRule type="expression" dxfId="1320" priority="15" stopIfTrue="1">
      <formula>#REF!="stars"</formula>
    </cfRule>
  </conditionalFormatting>
  <conditionalFormatting sqref="I38:I41">
    <cfRule type="expression" dxfId="1319" priority="18" stopIfTrue="1">
      <formula>NOT(SUM($I$38:$I$41)=1)</formula>
    </cfRule>
  </conditionalFormatting>
  <conditionalFormatting sqref="B36">
    <cfRule type="expression" dxfId="1318" priority="2">
      <formula>$I$35="No"</formula>
    </cfRule>
  </conditionalFormatting>
  <conditionalFormatting sqref="I36">
    <cfRule type="expression" dxfId="1317" priority="1">
      <formula>$I$35="No"</formula>
    </cfRule>
  </conditionalFormatting>
  <dataValidations count="5">
    <dataValidation allowBlank="1" showInputMessage="1" errorTitle="Data input error" sqref="I39" xr:uid="{61B58734-D4DB-4B3C-A48E-2B5E65E0651E}"/>
    <dataValidation type="decimal" allowBlank="1" showInputMessage="1" showErrorMessage="1" sqref="G20:G21 G14 G10 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E17 C16" xr:uid="{4504826D-3CA6-4539-8ED1-60F2226316EF}">
      <formula1>0</formula1>
      <formula2>6</formula2>
    </dataValidation>
    <dataValidation type="list" allowBlank="1" showInputMessage="1" showErrorMessage="1" sqref="I35" xr:uid="{A8D993E7-1149-409A-A5D4-8B0421453C9D}">
      <formula1>"&lt;select&gt;, Yes, No"</formula1>
    </dataValidation>
    <dataValidation type="list" allowBlank="1" showInputMessage="1" showErrorMessage="1" sqref="I26" xr:uid="{FD88D2A9-459F-426B-AEA8-BF3E4C0B5262}">
      <formula1>"&lt;select&gt;, Government School, Independent School, Catholic Systemic School"</formula1>
    </dataValidation>
    <dataValidation type="list" allowBlank="1" showInputMessage="1" showErrorMessage="1" sqref="I27" xr:uid="{923B5A90-2513-4AD4-8E4A-66D13A6A966F}">
      <formula1>"&lt;select&gt;, Major Cities, Inner Regional, Outer Regional, Remote, Very Remote"</formula1>
    </dataValidation>
  </dataValidations>
  <pageMargins left="0.51181102362204722" right="0.51181102362204722" top="0.39370078740157483" bottom="0.39370078740157483" header="0.51181102362204722" footer="0.51181102362204722"/>
  <pageSetup paperSize="9" scale="96"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CC58-56E1-4207-A4E7-850DC7828D61}">
  <dimension ref="A1:HI12"/>
  <sheetViews>
    <sheetView zoomScale="85" zoomScaleNormal="85" workbookViewId="0">
      <pane xSplit="1" ySplit="3" topLeftCell="B4" activePane="bottomRight" state="frozen"/>
      <selection pane="bottomRight" activeCell="J14" sqref="J14"/>
      <selection pane="bottomLeft" activeCell="AV3" sqref="AV3"/>
      <selection pane="topRight" activeCell="AV3" sqref="AV3"/>
    </sheetView>
  </sheetViews>
  <sheetFormatPr defaultColWidth="9.28515625" defaultRowHeight="16.5" customHeight="1"/>
  <cols>
    <col min="1" max="2" width="19.28515625" style="36" customWidth="1"/>
    <col min="3" max="3" width="10.5703125" style="36" customWidth="1"/>
    <col min="4" max="5" width="12.85546875" style="36" customWidth="1"/>
    <col min="6" max="6" width="14.5703125" style="36" customWidth="1"/>
    <col min="7" max="7" width="14.5703125" style="70" customWidth="1"/>
    <col min="8" max="12" width="14.5703125" style="36" customWidth="1"/>
    <col min="13" max="14" width="14.28515625" style="36" customWidth="1"/>
    <col min="15" max="18" width="12.28515625" style="36" customWidth="1"/>
    <col min="19" max="19" width="13.28515625" style="36" customWidth="1"/>
    <col min="20" max="20" width="16.85546875" style="36" customWidth="1"/>
    <col min="21" max="33" width="13.28515625" style="36" customWidth="1"/>
    <col min="34" max="35" width="14.85546875" style="36" customWidth="1"/>
    <col min="36" max="37" width="13.28515625" style="36" customWidth="1"/>
    <col min="38" max="40" width="12" style="36" customWidth="1"/>
    <col min="41" max="41" width="13.7109375" style="70" customWidth="1"/>
    <col min="42" max="45" width="9.28515625" style="70"/>
    <col min="46" max="52" width="9.28515625" style="36" customWidth="1"/>
    <col min="53" max="54" width="9.28515625" style="49" customWidth="1"/>
    <col min="55" max="63" width="10.28515625" style="36" customWidth="1"/>
    <col min="64" max="66" width="9.28515625" style="36"/>
    <col min="67" max="67" width="9.28515625" style="70"/>
    <col min="68" max="69" width="9.28515625" style="36"/>
    <col min="70" max="70" width="9.28515625" style="70"/>
    <col min="71" max="71" width="12.28515625" style="70" customWidth="1"/>
    <col min="72" max="72" width="10.5703125" style="70" customWidth="1"/>
    <col min="73" max="73" width="10.7109375" style="70" customWidth="1"/>
    <col min="74" max="74" width="11" style="70" customWidth="1"/>
    <col min="75" max="75" width="11.85546875" style="36" customWidth="1"/>
    <col min="76" max="76" width="10.7109375" style="36" customWidth="1"/>
    <col min="77" max="77" width="12.28515625" style="36" customWidth="1"/>
    <col min="78" max="78" width="10.85546875" style="36" customWidth="1"/>
    <col min="79" max="80" width="9.28515625" style="36" customWidth="1"/>
    <col min="81" max="81" width="10.5703125" style="36" customWidth="1"/>
    <col min="82" max="87" width="9.28515625" style="70"/>
    <col min="88" max="88" width="12.7109375" style="36" customWidth="1"/>
    <col min="89" max="89" width="15" style="36" customWidth="1"/>
    <col min="90" max="111" width="12.7109375" style="36" customWidth="1"/>
    <col min="112" max="148" width="12.7109375" style="70" customWidth="1"/>
    <col min="149" max="152" width="12.7109375" style="36" customWidth="1"/>
    <col min="153" max="166" width="12.7109375" style="70" customWidth="1"/>
    <col min="167" max="176" width="12.7109375" style="36" customWidth="1"/>
    <col min="177" max="184" width="9.7109375" style="36" customWidth="1"/>
    <col min="185" max="186" width="9.28515625" style="70"/>
    <col min="187" max="218" width="9.7109375" style="36" customWidth="1"/>
    <col min="219" max="219" width="10.28515625" style="36" customWidth="1"/>
    <col min="220" max="221" width="10.7109375" style="36" customWidth="1"/>
    <col min="222" max="222" width="10.28515625" style="36" customWidth="1"/>
    <col min="223" max="223" width="10.7109375" style="36" customWidth="1"/>
    <col min="224" max="224" width="9.28515625" style="36"/>
    <col min="225" max="225" width="12.7109375" style="36" customWidth="1"/>
    <col min="226" max="269" width="9.7109375" style="36" customWidth="1"/>
    <col min="270" max="272" width="9.28515625" style="36" bestFit="1" customWidth="1"/>
    <col min="273" max="16384" width="9.28515625" style="36"/>
  </cols>
  <sheetData>
    <row r="1" spans="1:217" ht="16.5" customHeight="1">
      <c r="A1" s="201" t="s">
        <v>94</v>
      </c>
      <c r="B1" s="268"/>
      <c r="C1" s="268" t="s">
        <v>884</v>
      </c>
      <c r="D1" s="268"/>
      <c r="E1" s="268"/>
      <c r="F1" s="201"/>
      <c r="G1" s="268"/>
      <c r="H1" s="268"/>
      <c r="I1" s="268"/>
      <c r="J1" s="268"/>
      <c r="K1" s="268"/>
      <c r="L1" s="268"/>
      <c r="M1" s="269"/>
      <c r="N1" s="268"/>
      <c r="O1" s="210" t="s">
        <v>96</v>
      </c>
      <c r="P1" s="270"/>
      <c r="Q1" s="270"/>
      <c r="R1" s="271"/>
      <c r="S1" s="204" t="s">
        <v>97</v>
      </c>
      <c r="T1" s="205"/>
      <c r="U1" s="205"/>
      <c r="V1" s="205"/>
      <c r="W1" s="205"/>
      <c r="X1" s="205"/>
      <c r="Y1" s="205"/>
      <c r="Z1" s="205"/>
      <c r="AA1" s="205"/>
      <c r="AB1" s="205"/>
      <c r="AC1" s="258"/>
      <c r="AD1" s="206" t="s">
        <v>491</v>
      </c>
      <c r="AE1" s="206"/>
      <c r="AF1" s="206"/>
      <c r="AG1" s="206"/>
      <c r="AH1" s="121" t="s">
        <v>98</v>
      </c>
      <c r="AI1" s="124"/>
      <c r="AJ1" s="122"/>
      <c r="AK1" s="122"/>
      <c r="AL1" s="123"/>
      <c r="AM1" s="121" t="s">
        <v>99</v>
      </c>
      <c r="AN1" s="125"/>
      <c r="AO1" s="265" t="s">
        <v>100</v>
      </c>
      <c r="AP1" s="94"/>
      <c r="AQ1" s="94"/>
      <c r="AR1" s="94"/>
      <c r="AS1" s="94"/>
      <c r="AT1" s="118" t="s">
        <v>885</v>
      </c>
      <c r="AU1" s="117"/>
      <c r="AV1" s="117"/>
      <c r="AW1" s="117"/>
      <c r="AX1" s="117"/>
      <c r="AY1" s="117"/>
      <c r="AZ1" s="117"/>
      <c r="BA1" s="118" t="s">
        <v>103</v>
      </c>
      <c r="BB1" s="119"/>
      <c r="BC1" s="117"/>
      <c r="BD1" s="117"/>
      <c r="BE1" s="117"/>
      <c r="BF1" s="116"/>
      <c r="BG1" s="118" t="s">
        <v>886</v>
      </c>
      <c r="BH1" s="117"/>
      <c r="BI1" s="117"/>
      <c r="BJ1" s="117"/>
      <c r="BK1" s="117"/>
      <c r="BL1" s="117"/>
      <c r="BM1" s="117"/>
      <c r="BN1" s="117"/>
      <c r="BO1" s="118" t="s">
        <v>105</v>
      </c>
      <c r="BP1" s="117"/>
      <c r="BQ1" s="117"/>
      <c r="BR1" s="117"/>
      <c r="BS1" s="117"/>
      <c r="BT1" s="117"/>
      <c r="BU1" s="117"/>
      <c r="BV1" s="117"/>
      <c r="BW1" s="117"/>
      <c r="BX1" s="117"/>
      <c r="BY1" s="117"/>
      <c r="BZ1" s="117"/>
      <c r="CA1" s="117"/>
      <c r="CB1" s="117"/>
      <c r="CC1" s="117"/>
      <c r="CD1" s="117"/>
      <c r="CE1" s="118" t="s">
        <v>106</v>
      </c>
      <c r="CF1" s="117"/>
      <c r="CG1" s="117"/>
      <c r="CH1" s="117"/>
      <c r="CI1" s="117"/>
      <c r="CJ1" s="118" t="s">
        <v>107</v>
      </c>
      <c r="CK1" s="119"/>
      <c r="CL1" s="117"/>
      <c r="CM1" s="117"/>
      <c r="CN1" s="117"/>
      <c r="CO1" s="117"/>
      <c r="CP1" s="117"/>
      <c r="CQ1" s="117"/>
      <c r="CR1" s="117"/>
      <c r="CS1" s="117"/>
      <c r="CT1" s="117"/>
      <c r="CU1" s="116"/>
      <c r="CV1" s="118" t="s">
        <v>108</v>
      </c>
      <c r="CW1" s="117"/>
      <c r="CX1" s="117"/>
      <c r="CY1" s="117"/>
      <c r="CZ1" s="118" t="s">
        <v>109</v>
      </c>
      <c r="DA1" s="117"/>
      <c r="DB1" s="117"/>
      <c r="DC1" s="117"/>
      <c r="DD1" s="117"/>
      <c r="DE1" s="117"/>
      <c r="DF1" s="117"/>
      <c r="DG1" s="117"/>
      <c r="DH1" s="117"/>
      <c r="DI1" s="117"/>
      <c r="DJ1" s="117"/>
      <c r="DK1" s="116"/>
      <c r="DL1" s="354"/>
      <c r="DM1" s="174"/>
      <c r="DN1" s="174"/>
      <c r="DO1" s="174"/>
      <c r="DP1" s="174"/>
      <c r="DQ1" s="174"/>
      <c r="DR1" s="174"/>
      <c r="DS1" s="174"/>
      <c r="DT1" s="174"/>
      <c r="DU1" s="174"/>
      <c r="DV1" s="292"/>
      <c r="DW1" s="174"/>
      <c r="DX1" s="264"/>
      <c r="DY1" s="117"/>
      <c r="DZ1" s="117"/>
      <c r="EA1" s="117"/>
      <c r="EB1" s="117"/>
      <c r="EC1" s="117"/>
      <c r="ED1" s="117"/>
      <c r="EE1" s="117"/>
      <c r="EF1" s="117"/>
      <c r="EG1" s="117"/>
      <c r="EH1" s="116"/>
      <c r="EI1" s="174"/>
      <c r="EJ1" s="354"/>
      <c r="EK1" s="174"/>
      <c r="EL1" s="174"/>
      <c r="EM1" s="174"/>
      <c r="EN1" s="174"/>
      <c r="EO1" s="174"/>
      <c r="EP1" s="174"/>
      <c r="EQ1" s="174"/>
      <c r="ER1" s="174"/>
      <c r="ES1" s="174"/>
      <c r="ET1" s="292"/>
      <c r="EU1" s="174"/>
      <c r="EV1" s="354"/>
      <c r="EW1" s="174"/>
      <c r="EX1" s="174"/>
      <c r="EY1" s="174"/>
      <c r="EZ1" s="174"/>
      <c r="FA1" s="174"/>
      <c r="FB1" s="174"/>
      <c r="FC1" s="174"/>
      <c r="FD1" s="174"/>
      <c r="FE1" s="174"/>
      <c r="FF1" s="292"/>
      <c r="FG1" s="174"/>
      <c r="FH1" s="174"/>
      <c r="FI1" s="174"/>
      <c r="FJ1" s="174"/>
      <c r="FK1" s="174"/>
      <c r="FL1" s="174"/>
      <c r="FM1" s="174"/>
      <c r="FN1" s="174"/>
      <c r="FO1" s="174"/>
      <c r="FP1" s="174"/>
      <c r="FQ1" s="174"/>
      <c r="FR1" s="174"/>
      <c r="FS1" s="174"/>
      <c r="FT1" s="264"/>
      <c r="FU1" s="117"/>
      <c r="FV1" s="117"/>
      <c r="FW1" s="117"/>
      <c r="FX1" s="117"/>
      <c r="FY1" s="117"/>
      <c r="FZ1" s="117"/>
      <c r="GA1" s="117"/>
      <c r="GB1" s="117"/>
      <c r="GC1" s="117"/>
      <c r="GD1" s="116"/>
      <c r="GE1" s="116"/>
      <c r="GF1" s="208" t="s">
        <v>497</v>
      </c>
      <c r="GG1" s="174"/>
      <c r="GH1" s="174"/>
      <c r="GI1" s="174"/>
      <c r="GJ1" s="174"/>
      <c r="GK1" s="174"/>
      <c r="GL1" s="174"/>
      <c r="GM1" s="174"/>
      <c r="GN1" s="174"/>
      <c r="GO1" s="174"/>
      <c r="GP1" s="292"/>
      <c r="GQ1" s="174"/>
      <c r="GR1" s="290" t="s">
        <v>111</v>
      </c>
      <c r="GS1" s="208"/>
      <c r="GT1" s="208"/>
      <c r="GU1" s="208"/>
      <c r="GV1" s="316"/>
      <c r="GW1" s="208"/>
      <c r="GX1" s="208"/>
      <c r="GY1" s="208"/>
      <c r="GZ1" s="208"/>
      <c r="HA1" s="208"/>
      <c r="HB1" s="290" t="s">
        <v>112</v>
      </c>
      <c r="HC1" s="265"/>
      <c r="HD1" s="265"/>
      <c r="HE1" s="265"/>
      <c r="HF1" s="265"/>
      <c r="HG1" s="265"/>
      <c r="HH1" s="265"/>
    </row>
    <row r="2" spans="1:217" ht="80.45" customHeight="1">
      <c r="C2" s="253" t="s">
        <v>887</v>
      </c>
      <c r="D2" s="253" t="s">
        <v>888</v>
      </c>
      <c r="E2" s="253" t="s">
        <v>889</v>
      </c>
      <c r="F2" s="253" t="s">
        <v>842</v>
      </c>
      <c r="G2" s="253" t="s">
        <v>843</v>
      </c>
      <c r="H2" s="253" t="s">
        <v>844</v>
      </c>
      <c r="I2" s="253" t="s">
        <v>845</v>
      </c>
      <c r="J2" s="253" t="s">
        <v>846</v>
      </c>
      <c r="K2" s="253" t="s">
        <v>847</v>
      </c>
      <c r="L2" s="253" t="s">
        <v>890</v>
      </c>
      <c r="M2" s="253" t="s">
        <v>891</v>
      </c>
      <c r="N2" s="253" t="s">
        <v>850</v>
      </c>
      <c r="O2" s="253" t="s">
        <v>116</v>
      </c>
      <c r="P2" s="253" t="s">
        <v>117</v>
      </c>
      <c r="Q2" s="253" t="s">
        <v>892</v>
      </c>
      <c r="R2" s="298" t="s">
        <v>118</v>
      </c>
      <c r="AH2" s="253" t="s">
        <v>60</v>
      </c>
      <c r="AI2" s="253" t="s">
        <v>893</v>
      </c>
      <c r="AJ2" s="253" t="s">
        <v>894</v>
      </c>
      <c r="AK2" s="253" t="s">
        <v>869</v>
      </c>
      <c r="AL2" s="253" t="s">
        <v>62</v>
      </c>
      <c r="AM2" s="254" t="s">
        <v>120</v>
      </c>
      <c r="AN2" s="214" t="s">
        <v>79</v>
      </c>
      <c r="AO2" s="236" t="s">
        <v>895</v>
      </c>
      <c r="AP2" s="237" t="s">
        <v>123</v>
      </c>
      <c r="AQ2" s="237" t="s">
        <v>124</v>
      </c>
      <c r="AR2" s="237" t="s">
        <v>125</v>
      </c>
      <c r="AS2" s="237" t="s">
        <v>896</v>
      </c>
      <c r="AT2" s="250" t="s">
        <v>897</v>
      </c>
      <c r="AU2" s="230" t="s">
        <v>898</v>
      </c>
      <c r="AV2" s="230" t="s">
        <v>899</v>
      </c>
      <c r="AW2" s="230" t="s">
        <v>900</v>
      </c>
      <c r="AX2" s="230" t="s">
        <v>901</v>
      </c>
      <c r="AY2" s="230" t="s">
        <v>902</v>
      </c>
      <c r="AZ2" s="230" t="s">
        <v>903</v>
      </c>
      <c r="BA2" s="250" t="s">
        <v>129</v>
      </c>
      <c r="BB2" s="230" t="s">
        <v>904</v>
      </c>
      <c r="BC2" s="230" t="s">
        <v>130</v>
      </c>
      <c r="BD2" s="230" t="s">
        <v>131</v>
      </c>
      <c r="BE2" s="230" t="s">
        <v>132</v>
      </c>
      <c r="BF2" s="231" t="s">
        <v>133</v>
      </c>
      <c r="BG2" s="250" t="s">
        <v>134</v>
      </c>
      <c r="BH2" s="230" t="s">
        <v>135</v>
      </c>
      <c r="BI2" s="230" t="s">
        <v>905</v>
      </c>
      <c r="BJ2" s="230" t="s">
        <v>136</v>
      </c>
      <c r="BK2" s="230" t="s">
        <v>137</v>
      </c>
      <c r="BL2" s="230" t="s">
        <v>138</v>
      </c>
      <c r="BM2" s="230" t="s">
        <v>906</v>
      </c>
      <c r="BN2" s="230" t="s">
        <v>139</v>
      </c>
      <c r="BO2" s="786" t="s">
        <v>907</v>
      </c>
      <c r="BP2" s="786" t="s">
        <v>908</v>
      </c>
      <c r="BQ2" s="249" t="s">
        <v>909</v>
      </c>
      <c r="BR2" s="249" t="s">
        <v>910</v>
      </c>
      <c r="BS2" s="249" t="s">
        <v>911</v>
      </c>
      <c r="BT2" s="249" t="s">
        <v>912</v>
      </c>
      <c r="BU2" s="249" t="s">
        <v>913</v>
      </c>
      <c r="BV2" s="249" t="s">
        <v>914</v>
      </c>
      <c r="BW2" s="249" t="s">
        <v>915</v>
      </c>
      <c r="BX2" s="249" t="s">
        <v>916</v>
      </c>
      <c r="BY2" s="249" t="s">
        <v>917</v>
      </c>
      <c r="BZ2" s="249" t="s">
        <v>918</v>
      </c>
      <c r="CA2" s="249" t="s">
        <v>919</v>
      </c>
      <c r="CB2" s="249" t="s">
        <v>920</v>
      </c>
      <c r="CC2" s="249" t="s">
        <v>921</v>
      </c>
      <c r="CD2" s="807" t="s">
        <v>922</v>
      </c>
      <c r="CE2" s="805" t="s">
        <v>923</v>
      </c>
      <c r="CF2" s="805" t="s">
        <v>924</v>
      </c>
      <c r="CG2" s="805" t="s">
        <v>925</v>
      </c>
      <c r="CH2" s="805" t="s">
        <v>926</v>
      </c>
      <c r="CI2" s="805" t="s">
        <v>927</v>
      </c>
      <c r="CJ2" s="367" t="s">
        <v>928</v>
      </c>
      <c r="CK2" s="154" t="s">
        <v>929</v>
      </c>
      <c r="CL2" s="154" t="s">
        <v>157</v>
      </c>
      <c r="CM2" s="154" t="s">
        <v>158</v>
      </c>
      <c r="CN2" s="154" t="s">
        <v>159</v>
      </c>
      <c r="CO2" s="154" t="s">
        <v>930</v>
      </c>
      <c r="CP2" s="154" t="s">
        <v>160</v>
      </c>
      <c r="CQ2" s="154" t="s">
        <v>161</v>
      </c>
      <c r="CR2" s="154" t="s">
        <v>931</v>
      </c>
      <c r="CS2" s="154" t="s">
        <v>162</v>
      </c>
      <c r="CT2" s="154" t="s">
        <v>163</v>
      </c>
      <c r="CU2" s="809" t="s">
        <v>164</v>
      </c>
      <c r="CV2" s="810" t="s">
        <v>932</v>
      </c>
      <c r="CW2" s="810" t="s">
        <v>933</v>
      </c>
      <c r="CX2" s="810" t="s">
        <v>934</v>
      </c>
      <c r="CY2" s="810" t="s">
        <v>935</v>
      </c>
      <c r="CZ2" s="369" t="s">
        <v>531</v>
      </c>
      <c r="DA2" s="154" t="s">
        <v>532</v>
      </c>
      <c r="DB2" s="154" t="s">
        <v>533</v>
      </c>
      <c r="DC2" s="154" t="s">
        <v>534</v>
      </c>
      <c r="DD2" s="154" t="s">
        <v>535</v>
      </c>
      <c r="DE2" s="154" t="s">
        <v>536</v>
      </c>
      <c r="DF2" s="154" t="s">
        <v>537</v>
      </c>
      <c r="DG2" s="154" t="s">
        <v>538</v>
      </c>
      <c r="DH2" s="154" t="s">
        <v>539</v>
      </c>
      <c r="DI2" s="154" t="s">
        <v>540</v>
      </c>
      <c r="DJ2" s="154" t="s">
        <v>541</v>
      </c>
      <c r="DK2" s="154" t="s">
        <v>542</v>
      </c>
      <c r="DL2" s="232" t="s">
        <v>191</v>
      </c>
      <c r="DM2" s="233" t="s">
        <v>192</v>
      </c>
      <c r="DN2" s="233" t="s">
        <v>193</v>
      </c>
      <c r="DO2" s="233" t="s">
        <v>194</v>
      </c>
      <c r="DP2" s="233" t="s">
        <v>195</v>
      </c>
      <c r="DQ2" s="233" t="s">
        <v>196</v>
      </c>
      <c r="DR2" s="233" t="s">
        <v>197</v>
      </c>
      <c r="DS2" s="233" t="s">
        <v>198</v>
      </c>
      <c r="DT2" s="233" t="s">
        <v>199</v>
      </c>
      <c r="DU2" s="233" t="s">
        <v>200</v>
      </c>
      <c r="DV2" s="233" t="s">
        <v>201</v>
      </c>
      <c r="DW2" s="234" t="s">
        <v>202</v>
      </c>
      <c r="DX2" s="233" t="s">
        <v>203</v>
      </c>
      <c r="DY2" s="233" t="s">
        <v>204</v>
      </c>
      <c r="DZ2" s="233" t="s">
        <v>205</v>
      </c>
      <c r="EA2" s="233" t="s">
        <v>206</v>
      </c>
      <c r="EB2" s="233" t="s">
        <v>207</v>
      </c>
      <c r="EC2" s="233" t="s">
        <v>208</v>
      </c>
      <c r="ED2" s="233" t="s">
        <v>209</v>
      </c>
      <c r="EE2" s="233" t="s">
        <v>210</v>
      </c>
      <c r="EF2" s="233" t="s">
        <v>211</v>
      </c>
      <c r="EG2" s="233" t="s">
        <v>212</v>
      </c>
      <c r="EH2" s="233" t="s">
        <v>213</v>
      </c>
      <c r="EI2" s="233" t="s">
        <v>214</v>
      </c>
      <c r="EJ2" s="241" t="s">
        <v>215</v>
      </c>
      <c r="EK2" s="242" t="s">
        <v>216</v>
      </c>
      <c r="EL2" s="242" t="s">
        <v>217</v>
      </c>
      <c r="EM2" s="242" t="s">
        <v>218</v>
      </c>
      <c r="EN2" s="242" t="s">
        <v>219</v>
      </c>
      <c r="EO2" s="242" t="s">
        <v>220</v>
      </c>
      <c r="EP2" s="242" t="s">
        <v>221</v>
      </c>
      <c r="EQ2" s="242" t="s">
        <v>222</v>
      </c>
      <c r="ER2" s="242" t="s">
        <v>223</v>
      </c>
      <c r="ES2" s="242" t="s">
        <v>224</v>
      </c>
      <c r="ET2" s="242" t="s">
        <v>225</v>
      </c>
      <c r="EU2" s="243" t="s">
        <v>226</v>
      </c>
      <c r="EV2" s="233" t="s">
        <v>227</v>
      </c>
      <c r="EW2" s="233" t="s">
        <v>228</v>
      </c>
      <c r="EX2" s="233" t="s">
        <v>229</v>
      </c>
      <c r="EY2" s="233" t="s">
        <v>230</v>
      </c>
      <c r="EZ2" s="233" t="s">
        <v>231</v>
      </c>
      <c r="FA2" s="233" t="s">
        <v>232</v>
      </c>
      <c r="FB2" s="233" t="s">
        <v>233</v>
      </c>
      <c r="FC2" s="233" t="s">
        <v>234</v>
      </c>
      <c r="FD2" s="233" t="s">
        <v>235</v>
      </c>
      <c r="FE2" s="233" t="s">
        <v>236</v>
      </c>
      <c r="FF2" s="233" t="s">
        <v>237</v>
      </c>
      <c r="FG2" s="234" t="s">
        <v>238</v>
      </c>
      <c r="FH2" s="233" t="s">
        <v>936</v>
      </c>
      <c r="FI2" s="233" t="s">
        <v>937</v>
      </c>
      <c r="FJ2" s="233" t="s">
        <v>938</v>
      </c>
      <c r="FK2" s="233" t="s">
        <v>939</v>
      </c>
      <c r="FL2" s="233" t="s">
        <v>940</v>
      </c>
      <c r="FM2" s="233" t="s">
        <v>941</v>
      </c>
      <c r="FN2" s="233" t="s">
        <v>942</v>
      </c>
      <c r="FO2" s="233" t="s">
        <v>943</v>
      </c>
      <c r="FP2" s="233" t="s">
        <v>944</v>
      </c>
      <c r="FQ2" s="233" t="s">
        <v>945</v>
      </c>
      <c r="FR2" s="233" t="s">
        <v>946</v>
      </c>
      <c r="FS2" s="234" t="s">
        <v>947</v>
      </c>
      <c r="FT2" s="241" t="s">
        <v>239</v>
      </c>
      <c r="FU2" s="242" t="s">
        <v>240</v>
      </c>
      <c r="FV2" s="242" t="s">
        <v>241</v>
      </c>
      <c r="FW2" s="242" t="s">
        <v>242</v>
      </c>
      <c r="FX2" s="242" t="s">
        <v>243</v>
      </c>
      <c r="FY2" s="242" t="s">
        <v>244</v>
      </c>
      <c r="FZ2" s="242" t="s">
        <v>245</v>
      </c>
      <c r="GA2" s="242" t="s">
        <v>246</v>
      </c>
      <c r="GB2" s="242" t="s">
        <v>247</v>
      </c>
      <c r="GC2" s="242" t="s">
        <v>248</v>
      </c>
      <c r="GD2" s="242" t="s">
        <v>249</v>
      </c>
      <c r="GE2" s="243" t="s">
        <v>250</v>
      </c>
      <c r="GF2" s="811" t="s">
        <v>287</v>
      </c>
      <c r="GG2" s="812" t="s">
        <v>288</v>
      </c>
      <c r="GH2" s="812" t="s">
        <v>289</v>
      </c>
      <c r="GI2" s="812" t="s">
        <v>290</v>
      </c>
      <c r="GJ2" s="812" t="s">
        <v>291</v>
      </c>
      <c r="GK2" s="812" t="s">
        <v>292</v>
      </c>
      <c r="GL2" s="812" t="s">
        <v>293</v>
      </c>
      <c r="GM2" s="812" t="s">
        <v>294</v>
      </c>
      <c r="GN2" s="812" t="s">
        <v>295</v>
      </c>
      <c r="GO2" s="812" t="s">
        <v>296</v>
      </c>
      <c r="GP2" s="812" t="s">
        <v>297</v>
      </c>
      <c r="GQ2" s="812" t="s">
        <v>298</v>
      </c>
      <c r="GR2" s="819" t="s">
        <v>299</v>
      </c>
      <c r="GS2" s="820" t="s">
        <v>300</v>
      </c>
      <c r="GT2" s="820" t="s">
        <v>948</v>
      </c>
      <c r="GU2" s="820" t="s">
        <v>949</v>
      </c>
      <c r="GV2" s="820"/>
      <c r="GW2" s="820"/>
      <c r="GX2" s="820" t="s">
        <v>950</v>
      </c>
      <c r="GY2" s="820" t="s">
        <v>951</v>
      </c>
      <c r="GZ2" s="820" t="s">
        <v>952</v>
      </c>
      <c r="HA2" s="242" t="s">
        <v>953</v>
      </c>
      <c r="HB2" s="829" t="s">
        <v>954</v>
      </c>
      <c r="HC2" s="824" t="s">
        <v>955</v>
      </c>
      <c r="HD2" s="824"/>
      <c r="HE2" s="824"/>
      <c r="HF2" s="824" t="s">
        <v>956</v>
      </c>
      <c r="HG2" s="824" t="s">
        <v>957</v>
      </c>
      <c r="HH2" s="824" t="s">
        <v>958</v>
      </c>
      <c r="HI2" s="823" t="s">
        <v>959</v>
      </c>
    </row>
    <row r="3" spans="1:217" ht="80.45" customHeight="1">
      <c r="A3" s="212" t="s">
        <v>314</v>
      </c>
      <c r="B3" s="212" t="s">
        <v>315</v>
      </c>
      <c r="C3" s="150" t="s">
        <v>316</v>
      </c>
      <c r="D3" s="150" t="s">
        <v>840</v>
      </c>
      <c r="E3" s="150" t="s">
        <v>960</v>
      </c>
      <c r="F3" s="150" t="s">
        <v>961</v>
      </c>
      <c r="G3" s="255" t="s">
        <v>962</v>
      </c>
      <c r="H3" s="255" t="s">
        <v>963</v>
      </c>
      <c r="I3" s="255" t="s">
        <v>964</v>
      </c>
      <c r="J3" s="255" t="s">
        <v>965</v>
      </c>
      <c r="K3" s="255" t="s">
        <v>966</v>
      </c>
      <c r="L3" s="255" t="s">
        <v>967</v>
      </c>
      <c r="M3" s="255" t="s">
        <v>968</v>
      </c>
      <c r="N3" s="255" t="s">
        <v>969</v>
      </c>
      <c r="O3" s="255" t="s">
        <v>116</v>
      </c>
      <c r="P3" s="272" t="s">
        <v>117</v>
      </c>
      <c r="Q3" s="272" t="s">
        <v>892</v>
      </c>
      <c r="R3" s="256" t="s">
        <v>118</v>
      </c>
      <c r="S3" s="188" t="s">
        <v>970</v>
      </c>
      <c r="T3" s="188" t="s">
        <v>320</v>
      </c>
      <c r="U3" s="188" t="s">
        <v>35</v>
      </c>
      <c r="V3" s="188" t="s">
        <v>41</v>
      </c>
      <c r="W3" s="188" t="s">
        <v>43</v>
      </c>
      <c r="X3" s="188" t="s">
        <v>855</v>
      </c>
      <c r="Y3" s="188" t="s">
        <v>857</v>
      </c>
      <c r="Z3" s="188" t="s">
        <v>47</v>
      </c>
      <c r="AA3" s="188" t="s">
        <v>50</v>
      </c>
      <c r="AB3" s="188" t="s">
        <v>864</v>
      </c>
      <c r="AC3" s="188" t="s">
        <v>53</v>
      </c>
      <c r="AD3" s="188" t="s">
        <v>582</v>
      </c>
      <c r="AE3" s="188" t="s">
        <v>480</v>
      </c>
      <c r="AF3" s="188" t="s">
        <v>55</v>
      </c>
      <c r="AG3" s="188" t="s">
        <v>57</v>
      </c>
      <c r="AH3" s="255" t="s">
        <v>321</v>
      </c>
      <c r="AI3" s="255" t="s">
        <v>324</v>
      </c>
      <c r="AJ3" s="255" t="s">
        <v>322</v>
      </c>
      <c r="AK3" s="255" t="s">
        <v>851</v>
      </c>
      <c r="AL3" s="255" t="s">
        <v>323</v>
      </c>
      <c r="AM3" s="151" t="s">
        <v>325</v>
      </c>
      <c r="AN3" s="152" t="s">
        <v>326</v>
      </c>
      <c r="AO3" s="236" t="s">
        <v>327</v>
      </c>
      <c r="AP3" s="237" t="s">
        <v>328</v>
      </c>
      <c r="AQ3" s="237" t="s">
        <v>124</v>
      </c>
      <c r="AR3" s="237" t="s">
        <v>125</v>
      </c>
      <c r="AS3" s="237" t="s">
        <v>896</v>
      </c>
      <c r="AT3" s="257" t="s">
        <v>332</v>
      </c>
      <c r="AU3" s="239" t="s">
        <v>333</v>
      </c>
      <c r="AV3" s="239" t="s">
        <v>971</v>
      </c>
      <c r="AW3" s="239" t="s">
        <v>334</v>
      </c>
      <c r="AX3" s="239" t="s">
        <v>972</v>
      </c>
      <c r="AY3" s="239" t="s">
        <v>973</v>
      </c>
      <c r="AZ3" s="239" t="s">
        <v>974</v>
      </c>
      <c r="BA3" s="257" t="s">
        <v>335</v>
      </c>
      <c r="BB3" s="239" t="s">
        <v>975</v>
      </c>
      <c r="BC3" s="239" t="s">
        <v>336</v>
      </c>
      <c r="BD3" s="239" t="s">
        <v>799</v>
      </c>
      <c r="BE3" s="239" t="s">
        <v>800</v>
      </c>
      <c r="BF3" s="240" t="s">
        <v>339</v>
      </c>
      <c r="BG3" s="257" t="s">
        <v>340</v>
      </c>
      <c r="BH3" s="239" t="s">
        <v>341</v>
      </c>
      <c r="BI3" s="239" t="s">
        <v>976</v>
      </c>
      <c r="BJ3" s="239" t="s">
        <v>342</v>
      </c>
      <c r="BK3" s="239" t="s">
        <v>343</v>
      </c>
      <c r="BL3" s="239" t="s">
        <v>344</v>
      </c>
      <c r="BM3" s="239" t="s">
        <v>977</v>
      </c>
      <c r="BN3" s="239" t="s">
        <v>345</v>
      </c>
      <c r="BO3" s="785" t="s">
        <v>907</v>
      </c>
      <c r="BP3" s="785" t="s">
        <v>908</v>
      </c>
      <c r="BQ3" s="249" t="s">
        <v>978</v>
      </c>
      <c r="BR3" s="249" t="s">
        <v>979</v>
      </c>
      <c r="BS3" s="249" t="s">
        <v>980</v>
      </c>
      <c r="BT3" s="249" t="s">
        <v>981</v>
      </c>
      <c r="BU3" s="249" t="s">
        <v>982</v>
      </c>
      <c r="BV3" s="249" t="s">
        <v>914</v>
      </c>
      <c r="BW3" s="249" t="s">
        <v>983</v>
      </c>
      <c r="BX3" s="249" t="s">
        <v>984</v>
      </c>
      <c r="BY3" s="249" t="s">
        <v>985</v>
      </c>
      <c r="BZ3" s="249" t="s">
        <v>986</v>
      </c>
      <c r="CA3" s="249" t="s">
        <v>987</v>
      </c>
      <c r="CB3" s="249" t="s">
        <v>988</v>
      </c>
      <c r="CC3" s="249" t="s">
        <v>989</v>
      </c>
      <c r="CD3" s="808" t="s">
        <v>990</v>
      </c>
      <c r="CE3" s="145" t="s">
        <v>991</v>
      </c>
      <c r="CF3" s="145" t="s">
        <v>992</v>
      </c>
      <c r="CG3" s="145" t="s">
        <v>993</v>
      </c>
      <c r="CH3" s="145" t="s">
        <v>994</v>
      </c>
      <c r="CI3" s="145" t="s">
        <v>995</v>
      </c>
      <c r="CJ3" s="248" t="s">
        <v>615</v>
      </c>
      <c r="CK3" s="242" t="s">
        <v>996</v>
      </c>
      <c r="CL3" s="242" t="s">
        <v>371</v>
      </c>
      <c r="CM3" s="242" t="s">
        <v>372</v>
      </c>
      <c r="CN3" s="242" t="s">
        <v>373</v>
      </c>
      <c r="CO3" s="242" t="s">
        <v>374</v>
      </c>
      <c r="CP3" s="242" t="s">
        <v>375</v>
      </c>
      <c r="CQ3" s="242" t="s">
        <v>376</v>
      </c>
      <c r="CR3" s="242" t="s">
        <v>997</v>
      </c>
      <c r="CS3" s="242" t="s">
        <v>377</v>
      </c>
      <c r="CT3" s="242" t="s">
        <v>378</v>
      </c>
      <c r="CU3" s="806" t="s">
        <v>379</v>
      </c>
      <c r="CV3" s="245" t="s">
        <v>618</v>
      </c>
      <c r="CW3" s="245" t="s">
        <v>998</v>
      </c>
      <c r="CX3" s="245" t="s">
        <v>620</v>
      </c>
      <c r="CY3" s="245" t="s">
        <v>621</v>
      </c>
      <c r="CZ3" s="369" t="s">
        <v>531</v>
      </c>
      <c r="DA3" s="154" t="s">
        <v>532</v>
      </c>
      <c r="DB3" s="154" t="s">
        <v>533</v>
      </c>
      <c r="DC3" s="154" t="s">
        <v>534</v>
      </c>
      <c r="DD3" s="154" t="s">
        <v>535</v>
      </c>
      <c r="DE3" s="154" t="s">
        <v>536</v>
      </c>
      <c r="DF3" s="154" t="s">
        <v>537</v>
      </c>
      <c r="DG3" s="154" t="s">
        <v>538</v>
      </c>
      <c r="DH3" s="154" t="s">
        <v>539</v>
      </c>
      <c r="DI3" s="154" t="s">
        <v>540</v>
      </c>
      <c r="DJ3" s="154" t="s">
        <v>541</v>
      </c>
      <c r="DK3" s="154" t="s">
        <v>542</v>
      </c>
      <c r="DL3" s="241" t="s">
        <v>406</v>
      </c>
      <c r="DM3" s="242" t="s">
        <v>407</v>
      </c>
      <c r="DN3" s="242" t="s">
        <v>408</v>
      </c>
      <c r="DO3" s="242" t="s">
        <v>409</v>
      </c>
      <c r="DP3" s="242" t="s">
        <v>410</v>
      </c>
      <c r="DQ3" s="242" t="s">
        <v>411</v>
      </c>
      <c r="DR3" s="242" t="s">
        <v>412</v>
      </c>
      <c r="DS3" s="242" t="s">
        <v>413</v>
      </c>
      <c r="DT3" s="242" t="s">
        <v>414</v>
      </c>
      <c r="DU3" s="242" t="s">
        <v>415</v>
      </c>
      <c r="DV3" s="242" t="s">
        <v>416</v>
      </c>
      <c r="DW3" s="243" t="s">
        <v>417</v>
      </c>
      <c r="DX3" s="241" t="s">
        <v>203</v>
      </c>
      <c r="DY3" s="242" t="s">
        <v>204</v>
      </c>
      <c r="DZ3" s="242" t="s">
        <v>205</v>
      </c>
      <c r="EA3" s="242" t="s">
        <v>206</v>
      </c>
      <c r="EB3" s="242" t="s">
        <v>207</v>
      </c>
      <c r="EC3" s="242" t="s">
        <v>208</v>
      </c>
      <c r="ED3" s="242" t="s">
        <v>209</v>
      </c>
      <c r="EE3" s="242" t="s">
        <v>210</v>
      </c>
      <c r="EF3" s="242" t="s">
        <v>211</v>
      </c>
      <c r="EG3" s="242" t="s">
        <v>212</v>
      </c>
      <c r="EH3" s="242" t="s">
        <v>213</v>
      </c>
      <c r="EI3" s="243" t="s">
        <v>214</v>
      </c>
      <c r="EJ3" s="367" t="s">
        <v>418</v>
      </c>
      <c r="EK3" s="366" t="s">
        <v>419</v>
      </c>
      <c r="EL3" s="366" t="s">
        <v>420</v>
      </c>
      <c r="EM3" s="366" t="s">
        <v>421</v>
      </c>
      <c r="EN3" s="366" t="s">
        <v>422</v>
      </c>
      <c r="EO3" s="366" t="s">
        <v>423</v>
      </c>
      <c r="EP3" s="366" t="s">
        <v>424</v>
      </c>
      <c r="EQ3" s="366" t="s">
        <v>425</v>
      </c>
      <c r="ER3" s="366" t="s">
        <v>426</v>
      </c>
      <c r="ES3" s="366" t="s">
        <v>427</v>
      </c>
      <c r="ET3" s="366" t="s">
        <v>428</v>
      </c>
      <c r="EU3" s="368" t="s">
        <v>429</v>
      </c>
      <c r="EV3" s="241" t="s">
        <v>227</v>
      </c>
      <c r="EW3" s="242" t="s">
        <v>228</v>
      </c>
      <c r="EX3" s="242" t="s">
        <v>229</v>
      </c>
      <c r="EY3" s="242" t="s">
        <v>230</v>
      </c>
      <c r="EZ3" s="242" t="s">
        <v>231</v>
      </c>
      <c r="FA3" s="242" t="s">
        <v>232</v>
      </c>
      <c r="FB3" s="242" t="s">
        <v>233</v>
      </c>
      <c r="FC3" s="242" t="s">
        <v>234</v>
      </c>
      <c r="FD3" s="242" t="s">
        <v>235</v>
      </c>
      <c r="FE3" s="242" t="s">
        <v>236</v>
      </c>
      <c r="FF3" s="242" t="s">
        <v>237</v>
      </c>
      <c r="FG3" s="243" t="s">
        <v>238</v>
      </c>
      <c r="FH3" s="233" t="s">
        <v>936</v>
      </c>
      <c r="FI3" s="233" t="s">
        <v>937</v>
      </c>
      <c r="FJ3" s="233" t="s">
        <v>938</v>
      </c>
      <c r="FK3" s="233" t="s">
        <v>939</v>
      </c>
      <c r="FL3" s="233" t="s">
        <v>940</v>
      </c>
      <c r="FM3" s="233" t="s">
        <v>941</v>
      </c>
      <c r="FN3" s="233" t="s">
        <v>942</v>
      </c>
      <c r="FO3" s="233" t="s">
        <v>943</v>
      </c>
      <c r="FP3" s="233" t="s">
        <v>944</v>
      </c>
      <c r="FQ3" s="233" t="s">
        <v>945</v>
      </c>
      <c r="FR3" s="233" t="s">
        <v>946</v>
      </c>
      <c r="FS3" s="234" t="s">
        <v>947</v>
      </c>
      <c r="FT3" s="366" t="s">
        <v>239</v>
      </c>
      <c r="FU3" s="366" t="s">
        <v>240</v>
      </c>
      <c r="FV3" s="366" t="s">
        <v>241</v>
      </c>
      <c r="FW3" s="366" t="s">
        <v>242</v>
      </c>
      <c r="FX3" s="366" t="s">
        <v>243</v>
      </c>
      <c r="FY3" s="366" t="s">
        <v>244</v>
      </c>
      <c r="FZ3" s="366" t="s">
        <v>245</v>
      </c>
      <c r="GA3" s="366" t="s">
        <v>246</v>
      </c>
      <c r="GB3" s="366" t="s">
        <v>247</v>
      </c>
      <c r="GC3" s="366" t="s">
        <v>248</v>
      </c>
      <c r="GD3" s="366" t="s">
        <v>249</v>
      </c>
      <c r="GE3" s="366" t="s">
        <v>250</v>
      </c>
      <c r="GF3" s="373" t="s">
        <v>287</v>
      </c>
      <c r="GG3" s="362" t="s">
        <v>288</v>
      </c>
      <c r="GH3" s="362" t="s">
        <v>289</v>
      </c>
      <c r="GI3" s="362" t="s">
        <v>290</v>
      </c>
      <c r="GJ3" s="362" t="s">
        <v>291</v>
      </c>
      <c r="GK3" s="362" t="s">
        <v>292</v>
      </c>
      <c r="GL3" s="362" t="s">
        <v>293</v>
      </c>
      <c r="GM3" s="362" t="s">
        <v>294</v>
      </c>
      <c r="GN3" s="362" t="s">
        <v>295</v>
      </c>
      <c r="GO3" s="362" t="s">
        <v>296</v>
      </c>
      <c r="GP3" s="362" t="s">
        <v>297</v>
      </c>
      <c r="GQ3" s="362" t="s">
        <v>298</v>
      </c>
      <c r="GR3" s="816" t="s">
        <v>430</v>
      </c>
      <c r="GS3" s="817" t="s">
        <v>431</v>
      </c>
      <c r="GT3" s="817" t="s">
        <v>999</v>
      </c>
      <c r="GU3" s="817" t="s">
        <v>1000</v>
      </c>
      <c r="GV3" s="817" t="s">
        <v>871</v>
      </c>
      <c r="GW3" s="817" t="s">
        <v>873</v>
      </c>
      <c r="GX3" s="817" t="s">
        <v>556</v>
      </c>
      <c r="GY3" s="817" t="s">
        <v>874</v>
      </c>
      <c r="GZ3" s="817" t="s">
        <v>555</v>
      </c>
      <c r="HA3" s="818" t="s">
        <v>875</v>
      </c>
      <c r="HB3" s="825" t="s">
        <v>1001</v>
      </c>
      <c r="HC3" s="826" t="s">
        <v>1002</v>
      </c>
      <c r="HD3" s="826" t="s">
        <v>877</v>
      </c>
      <c r="HE3" s="826" t="s">
        <v>881</v>
      </c>
      <c r="HF3" s="826" t="s">
        <v>878</v>
      </c>
      <c r="HG3" s="826" t="s">
        <v>882</v>
      </c>
      <c r="HH3" s="826" t="s">
        <v>879</v>
      </c>
      <c r="HI3" s="827" t="s">
        <v>883</v>
      </c>
    </row>
    <row r="4" spans="1:217" ht="16.5" customHeight="1">
      <c r="A4" s="484">
        <f>School_Target_Energy</f>
        <v>0</v>
      </c>
      <c r="B4" s="484">
        <f>School_Target_Water</f>
        <v>0</v>
      </c>
      <c r="C4" s="485">
        <f>School_Postcode</f>
        <v>0</v>
      </c>
      <c r="D4" s="485">
        <f>School_Sector</f>
        <v>0</v>
      </c>
      <c r="E4" s="485">
        <f>School_Remote_Area</f>
        <v>0</v>
      </c>
      <c r="F4" s="488">
        <f>School_Site_Area</f>
        <v>0</v>
      </c>
      <c r="G4" s="488">
        <f>School_GFA</f>
        <v>0</v>
      </c>
      <c r="H4" s="488">
        <f>School_FTE_Staff</f>
        <v>0</v>
      </c>
      <c r="I4" s="488">
        <f>School_FTE_ELC</f>
        <v>0</v>
      </c>
      <c r="J4" s="488">
        <f>School_FTE_Primary</f>
        <v>0</v>
      </c>
      <c r="K4" s="488">
        <f>School_FTE_Secondary</f>
        <v>0</v>
      </c>
      <c r="L4" s="488">
        <f>School_FTE_Specical_Needs</f>
        <v>0</v>
      </c>
      <c r="M4" s="486">
        <f>School_Pool</f>
        <v>0</v>
      </c>
      <c r="N4" s="486">
        <f>School_Pool_Size</f>
        <v>0</v>
      </c>
      <c r="O4" s="487">
        <f>School_Elec_Percent</f>
        <v>0</v>
      </c>
      <c r="P4" s="487">
        <f>School_Gas_Percent</f>
        <v>0</v>
      </c>
      <c r="Q4" s="487">
        <f>School_LPG_Percent</f>
        <v>0</v>
      </c>
      <c r="R4" s="487">
        <f>School_Diesel_Percent</f>
        <v>0</v>
      </c>
      <c r="S4" s="126">
        <f>tbl_School_Multi[[#This Row],[Predicted Emissions Ratio]]</f>
        <v>1.8666666666666667</v>
      </c>
      <c r="T4" s="42" t="e">
        <f>tbl_School_Multi[[#This Row],[Predicted Emissions]]</f>
        <v>#DIV/0!</v>
      </c>
      <c r="U4" s="42" t="e">
        <f>tbl_School_Multi[[#This Row],[Target Max CO2]]</f>
        <v>#DIV/0!</v>
      </c>
      <c r="V4" s="42" t="e">
        <f>tbl_School_Multi[[#This Row],[Target Max GE]]</f>
        <v>#DIV/0!</v>
      </c>
      <c r="W4" s="378" t="e">
        <f>tbl_School_Multi[[#This Row],[Target Max Energy Intensity]]</f>
        <v>#DIV/0!</v>
      </c>
      <c r="X4" s="42" t="e">
        <f>tbl_School_Multi[[#This Row],[Target Scopes 1,2&amp;3]]</f>
        <v>#DIV/0!</v>
      </c>
      <c r="Y4" s="42" t="e">
        <f>tbl_School_Multi[[#This Row],[Target Scopes 1&amp;2]]</f>
        <v>#DIV/0!</v>
      </c>
      <c r="Z4" s="42" t="e">
        <f>tbl_School_Multi[[#This Row],[Target Max Elec (kWh)]]</f>
        <v>#DIV/0!</v>
      </c>
      <c r="AA4" s="42" t="e">
        <f>tbl_School_Multi[[#This Row],[Target Max Gas (MJ)]]</f>
        <v>#DIV/0!</v>
      </c>
      <c r="AB4" s="42" t="e">
        <f>tbl_School_Multi[[#This Row],[Target Max LPG (L)]]</f>
        <v>#DIV/0!</v>
      </c>
      <c r="AC4" s="42" t="e">
        <f>tbl_School_Multi[[#This Row],[Target Max Diesel (L)]]</f>
        <v>#DIV/0!</v>
      </c>
      <c r="AD4" s="839">
        <f>tbl_School_Multi[[#This Row],[Target Max Water Ratio]]</f>
        <v>1.8666666666666667</v>
      </c>
      <c r="AE4" s="42" t="e">
        <f>tbl_School_Multi[[#This Row],[Predicted Water]]</f>
        <v>#DIV/0!</v>
      </c>
      <c r="AF4" s="42" t="e">
        <f>tbl_School_Multi[[#This Row],[Target Max Water (kL)]]</f>
        <v>#DIV/0!</v>
      </c>
      <c r="AG4" s="839" t="e">
        <f>tbl_School_Multi[[#This Row],[Target Max Water Intensity]]</f>
        <v>#DIV/0!</v>
      </c>
      <c r="AH4" s="285">
        <f>School_Elec_FWD</f>
        <v>0</v>
      </c>
      <c r="AI4" s="285">
        <f>School_GreenPower_Percent_FWD</f>
        <v>0</v>
      </c>
      <c r="AJ4" s="285">
        <f>School_Gas_FWD</f>
        <v>0</v>
      </c>
      <c r="AK4" s="285">
        <f>School_LPG_FWD</f>
        <v>0</v>
      </c>
      <c r="AL4" s="285">
        <f>School_Diesel_FWD</f>
        <v>0</v>
      </c>
      <c r="AM4" s="776">
        <f>School_Water_FWD</f>
        <v>0</v>
      </c>
      <c r="AN4" s="776">
        <f>School_RW_Percent_FWD</f>
        <v>0</v>
      </c>
      <c r="AO4" s="45" t="e">
        <f>_xlfn.XLOOKUP(tbl_School_Multi[[#This Row],[Postcode]],tbl_Climate_Lookup[Postcode],tbl_Climate_Lookup[State])</f>
        <v>#N/A</v>
      </c>
      <c r="AP4" s="45" t="e">
        <f>_xlfn.XLOOKUP(tbl_School_Multi[[#This Row],[Postcode]],tbl_Climate_Lookup[Postcode],tbl_Climate_Lookup[Climate zone])</f>
        <v>#N/A</v>
      </c>
      <c r="AQ4" s="45" t="e">
        <f>_xlfn.XLOOKUP(tbl_School_Multi[[#This Row],[Postcode]],tbl_Climate_Lookup[Postcode],tbl_Climate_Lookup[HDD])</f>
        <v>#N/A</v>
      </c>
      <c r="AR4" s="45" t="e">
        <f>_xlfn.XLOOKUP(tbl_School_Multi[[#This Row],[Postcode]],tbl_Climate_Lookup[Postcode],tbl_Climate_Lookup[CDD])</f>
        <v>#N/A</v>
      </c>
      <c r="AS4" s="45" t="e">
        <f>_xlfn.XLOOKUP(tbl_School_Multi[[#This Row],[Postcode]],tbl_Climate_Lookup[Postcode],tbl_Climate_Lookup[IRR])</f>
        <v>#N/A</v>
      </c>
      <c r="AT4" s="46" t="e">
        <f>_xlfn.XLOOKUP(tbl_School_Multi[[#This Row],[State]],tbl_SGE_School_2022[State],tbl_SGE_School_2022[Electricity
(kgCO2/kWh)])</f>
        <v>#N/A</v>
      </c>
      <c r="AU4" s="46" t="e">
        <f>_xlfn.XLOOKUP(tbl_School_Multi[[#This Row],[State]],tbl_SGE_School_2022[State],tbl_SGE_School_2022[Gas
(kgCO2/MJ)])</f>
        <v>#N/A</v>
      </c>
      <c r="AV4" s="46" t="e">
        <f>_xlfn.XLOOKUP(tbl_School_Multi[[#This Row],[State]],tbl_SGE_School_2022[State],tbl_SGE_School_2022[LPG
(kgCO2/MJ)])</f>
        <v>#N/A</v>
      </c>
      <c r="AW4" s="46" t="e">
        <f>_xlfn.XLOOKUP(tbl_School_Multi[[#This Row],[State]],tbl_SGE_School_2022[State],tbl_SGE_School_2022[Diesel
(kgCO2/L)])</f>
        <v>#N/A</v>
      </c>
      <c r="AX4" s="46" t="e">
        <f>_xlfn.XLOOKUP(tbl_School_Multi[[#This Row],[State]],tbl_SGE_School_2022[State],tbl_SGE_School_2022[LPG
(kgCO2/L)])</f>
        <v>#N/A</v>
      </c>
      <c r="AY4" s="46" t="e">
        <f>_xlfn.XLOOKUP(tbl_School_Multi[[#This Row],[State]],tbl_SGE_School_2022[State],tbl_SGE_School_2022[Electricity Factors])</f>
        <v>#N/A</v>
      </c>
      <c r="AZ4" s="46" t="e">
        <f>_xlfn.XLOOKUP(tbl_School_Multi[[#This Row],[State]],tbl_SGE_School_2022[State],tbl_SGE_School_2022[[Gas Factors ]])</f>
        <v>#N/A</v>
      </c>
      <c r="BA4" s="50">
        <f>INDEX(tbl_Conversion_Factors[[Conversion Factors]:[Conversion Factors]],MATCH(tbl_School_Multi[[#Headers],[CFelec]],tbl_Conversion_Factors[[Reference]:[Reference]],0))</f>
        <v>3.6</v>
      </c>
      <c r="BB4" s="50">
        <f>INDEX(tbl_Conversion_Factors[[Conversion Factors]:[Conversion Factors]],MATCH(tbl_School_Multi[[#Headers],[CFlpg]],tbl_Conversion_Factors[[Reference]:[Reference]],0))</f>
        <v>25.7</v>
      </c>
      <c r="BC4" s="50">
        <f>INDEX(tbl_Conversion_Factors[[Conversion Factors]:[Conversion Factors]],MATCH(tbl_School_Multi[[#Headers],[CFdiesel]],tbl_Conversion_Factors[[Reference]:[Reference]],0))</f>
        <v>38.6</v>
      </c>
      <c r="BD4" s="45" t="e">
        <f>tbl_School_Multi[[#This Row],[SGEe]]/tbl_School_Multi[[#This Row],[CFelec]]</f>
        <v>#N/A</v>
      </c>
      <c r="BE4" s="45" t="e">
        <f>tbl_School_Multi[[#This Row],[SGEd]]/tbl_School_Multi[[#This Row],[CFdiesel]]</f>
        <v>#N/A</v>
      </c>
      <c r="BF4" s="46">
        <f>IF(SUM(tbl_School_Multi[[#This Row],[Electricity (%)]:[Diesel (%)]])=1,
SUM(tbl_School_Multi[[#This Row],[Electricity (%)]]*tbl_School_Multi[[#This Row],[SGEeMJ]],
tbl_School_Multi[[#This Row],[Gas (%)]]*tbl_School_Multi[[#This Row],[SGEg]],
tbl_School_Multi[[#This Row],[LPG (%)]]*tbl_School_Multi[[#This Row],[SGEl]],
tbl_School_Multi[[#This Row],[Diesel (%)]]*tbl_School_Multi[[#This Row],[SGEdMJ]]),
0)</f>
        <v>0</v>
      </c>
      <c r="BG4" s="46" t="e">
        <f>INDEX(tbl_NGA_Factors_2022[#Data],MATCH(tbl_School_Multi[[State]:[State]],tbl_NGA_Factors_2022[[State]:[State]],0),MATCH(tbl_School_Multi[[#Headers],[SGEe Scopes 1,2&amp;3]],tbl_NGA_Factors_2022[#Headers],0))</f>
        <v>#N/A</v>
      </c>
      <c r="BH4" s="46" t="e">
        <f>INDEX(tbl_NGA_Factors_2022[#Data],MATCH(tbl_School_Multi[[State]:[State]],tbl_NGA_Factors_2022[[State]:[State]],0),MATCH(tbl_School_Multi[[#Headers],[SGEg Scopes 1,2&amp;3]],tbl_NGA_Factors_2022[#Headers],0))</f>
        <v>#N/A</v>
      </c>
      <c r="BI4" s="46" t="e">
        <f>INDEX(tbl_NGA_Factors_2022[#Data],MATCH(tbl_School_Multi[[State]:[State]],tbl_NGA_Factors_2022[[State]:[State]],0),MATCH(tbl_School_Multi[[#Headers],[SGEl Scopes 1,2&amp;3]],tbl_NGA_Factors_2022[#Headers],0))</f>
        <v>#N/A</v>
      </c>
      <c r="BJ4" s="46" t="e">
        <f>INDEX(tbl_NGA_Factors_2022[#Data],MATCH(tbl_School_Multi[[State]:[State]],tbl_NGA_Factors_2022[[State]:[State]],0),MATCH(tbl_School_Multi[[#Headers],[SGEd Scopes 1,2&amp;3]],tbl_NGA_Factors_2022[#Headers],0))</f>
        <v>#N/A</v>
      </c>
      <c r="BK4" s="46" t="e">
        <f>INDEX(tbl_NGA_Factors_2022[#Data],MATCH(tbl_School_Multi[[State]:[State]],tbl_NGA_Factors_2022[[State]:[State]],0),MATCH(tbl_School_Multi[[#Headers],[SGEe Scopes 1&amp;2]],tbl_NGA_Factors_2022[#Headers],0))</f>
        <v>#N/A</v>
      </c>
      <c r="BL4" s="46" t="e">
        <f>INDEX(tbl_NGA_Factors_2022[#Data],MATCH(tbl_School_Multi[[State]:[State]],tbl_NGA_Factors_2022[[State]:[State]],0),MATCH(tbl_School_Multi[[#Headers],[SGEg Scopes 1&amp;2]],tbl_NGA_Factors_2022[#Headers],0))</f>
        <v>#N/A</v>
      </c>
      <c r="BM4" s="46" t="e">
        <f>INDEX(tbl_NGA_Factors_2022[#Data],MATCH(tbl_School_Multi[[State]:[State]],tbl_NGA_Factors_2022[[State]:[State]],0),MATCH(tbl_School_Multi[[#Headers],[SGEl Scopes 1&amp;2]],tbl_NGA_Factors_2022[#Headers],0))</f>
        <v>#N/A</v>
      </c>
      <c r="BN4" s="46" t="e">
        <f>INDEX(tbl_NGA_Factors_2022[#Data],MATCH(tbl_School_Multi[[State]:[State]],tbl_NGA_Factors_2022[[State]:[State]],0),MATCH(tbl_School_Multi[[#Headers],[SGEd Scopes 1&amp;2]],tbl_NGA_Factors_2022[#Headers],0))</f>
        <v>#N/A</v>
      </c>
      <c r="BO4" s="45">
        <f>SUM(tbl_School_Multi[[#This Row],[FTE ELC]:[FTE Special Needs]])</f>
        <v>0</v>
      </c>
      <c r="BP4" s="45">
        <f>SUM(tbl_School_Multi[[#This Row],[FTE Staff]],tbl_School_Multi[[#This Row],[Total Students]])</f>
        <v>0</v>
      </c>
      <c r="BQ4" s="45" t="e">
        <f>tbl_School_Multi[[#This Row],[Total Students]]/tbl_School_Multi[[#This Row],[Total GFA]]</f>
        <v>#DIV/0!</v>
      </c>
      <c r="BR4" s="787" t="e">
        <f>tbl_School_Multi[[#This Row],[FTE ELC]]/tbl_School_Multi[[#This Row],[Total Students]]</f>
        <v>#DIV/0!</v>
      </c>
      <c r="BS4" s="787" t="e">
        <f>tbl_School_Multi[[#This Row],[FTE Primary]]/tbl_School_Multi[[#This Row],[Total Students]]</f>
        <v>#DIV/0!</v>
      </c>
      <c r="BT4" s="787" t="e">
        <f>tbl_School_Multi[[#This Row],[FTE Secondary]]/tbl_School_Multi[[#This Row],[Total Students]]</f>
        <v>#DIV/0!</v>
      </c>
      <c r="BU4" s="787" t="e">
        <f>tbl_School_Multi[[#This Row],[FTE Special Needs]]/tbl_School_Multi[[#This Row],[Total Students]]</f>
        <v>#DIV/0!</v>
      </c>
      <c r="BV4" s="45" t="e">
        <f>IF(tbl_School_Multi[[#This Row],[ELC/Total Students]]=100%,"ELC Only",IF(tbl_School_Multi[[#This Row],[Special Needs/Total Students]]=100%,"Special Education/Needs Only",IF(AND(tbl_School_Multi[[#This Row],[Primary/Total Students]]&gt;0,tbl_School_Multi[[#This Row],[Secondary/Total Students]]=0),"Primary",IF(AND(tbl_School_Multi[[#This Row],[Secondary/Total Students]]&gt;0,tbl_School_Multi[[#This Row],[Primary/Total Students]]=0),"Secondary","Mixed"))))</f>
        <v>#DIV/0!</v>
      </c>
      <c r="BW4" s="45" t="e">
        <f>(37.905*tbl_School_Multi[[#This Row],[ELC/Total Students]]+43.433*tbl_School_Multi[[#This Row],[Primary/Total Students]]+73.552*tbl_School_Multi[[#This Row],[Secondary/Total Students]]+197.75*tbl_School_Multi[[#This Row],[Special Needs/Total Students]])*tbl_School_Multi[[#This Row],[Students/ GFA m²]]+24.85</f>
        <v>#DIV/0!</v>
      </c>
      <c r="BX4" s="45" t="e">
        <f>IF(tbl_School_Multi[[#This Row],[CDD]]&lt;1200,5.4068*(10^-4)*tbl_School_Multi[[#This Row],[CDD]]+1.8075*(10^-4)*tbl_School_Multi[[#This Row],[HDD]]+0.52462, 2.8799*(10^-4)*tbl_School_Multi[[#This Row],[CDD]]+1.8075*(10^-4)*tbl_School_Multi[[#This Row],[HDD]]+0.8272)</f>
        <v>#N/A</v>
      </c>
      <c r="BY4" s="45">
        <f>IF(tbl_School_Multi[[#This Row],[School Remote Area]]="Very Remote",1.232,IF(tbl_School_Multi[[#This Row],[School Remote Area]]="Remote",1.06, IF(tbl_School_Multi[[#This Row],[School Remote Area]]="Inner Regional",0.957,IF(tbl_School_Multi[[#This Row],[School Remote Area]]="Outer Regional",1.063,1))))</f>
        <v>1</v>
      </c>
      <c r="BZ4" s="45">
        <f>IF(tbl_School_Multi[[#This Row],[Swimming Pool]]="Yes",6,0)</f>
        <v>0</v>
      </c>
      <c r="CA4" s="45" t="b">
        <f>IF(tbl_School_Multi[[#This Row],[School Sector]]="Government School",0.909, IF(tbl_School_Multi[[#This Row],[School Sector]]="Independent School", (0.909*1.584), IF(tbl_School_Multi[[#This Row],[School Sector]]="Catholic Systemic School", 0.909)))</f>
        <v>0</v>
      </c>
      <c r="CB4" s="45" t="e">
        <f>_xlfn.XLOOKUP(tbl_School_Multi[[#This Row],[State]], tbl_School_Coefficients[State],tbl_School_Coefficients[all sectors])</f>
        <v>#N/A</v>
      </c>
      <c r="CC4" s="45">
        <f>IF(OR(tbl_School_Multi[[#This Row],[School Sector]]="Government School",tbl_School_Multi[[#This Row],[School Sector]]="Catholic Systemic School"),_xlfn.XLOOKUP(tbl_School_Multi[[#This Row],[State]],tbl_School_Coefficients[State], tbl_School_Coefficients[Government Schools and Catholic Systemic Schools]), 1)</f>
        <v>1</v>
      </c>
      <c r="CD4" s="45" t="e">
        <f>(tbl_School_Multi[[#This Row],[C_Student Density]]*tbl_School_Multi[[#This Row],[C_Climate]]*tbl_School_Multi[[#This Row],[C_Remote Area]]+tbl_School_Multi[[#This Row],[C_Pool]])*tbl_School_Multi[[#This Row],[C_School Sector]]*tbl_School_Multi[[#This Row],[C_Emissions]]*tbl_School_Multi[[#This Row],[C_Re-centre]]</f>
        <v>#DIV/0!</v>
      </c>
      <c r="CE4" s="45" t="e">
        <f>IF(tbl_School_Multi[[#This Row],[School Type]]="ELC Only", 9.293*tbl_School_Multi[[#This Row],[Total Population]], IF(tbl_School_Multi[[#This Row],[School Type]]="Special Education/Needs Only", 4.133*tbl_School_Multi[[#This Row],[Total Population]], 3.094*tbl_School_Multi[[#This Row],[Total Population]]))</f>
        <v>#DIV/0!</v>
      </c>
      <c r="CF4" s="45" t="e">
        <f>2.532*(10^-5)*tbl_School_Multi[[#This Row],[Total Site Area]]*tbl_School_Multi[[#This Row],[IRR]]</f>
        <v>#N/A</v>
      </c>
      <c r="CG4" s="45">
        <f>IF(OR(tbl_School_Multi[[#This Row],[School Remote Area]]="Major Cities", tbl_School_Multi[[#This Row],[School Remote Area]]="Inner Regional"), 1, 1.828)</f>
        <v>1.8280000000000001</v>
      </c>
      <c r="CH4" s="45">
        <f>10*tbl_School_Multi[[#This Row],[Pool Size]]</f>
        <v>0</v>
      </c>
      <c r="CI4" s="45" t="b">
        <f>IF(tbl_School_Multi[[#This Row],[School Sector]]="Government School",1, IF(tbl_School_Multi[[#This Row],[School Sector]]="Independent School", 2.112, IF(tbl_School_Multi[[#This Row],[School Sector]]="Catholic Systemic School", 1)))</f>
        <v>0</v>
      </c>
      <c r="CJ4" s="45" t="e">
        <f>tbl_School_Multi[[#This Row],[Predicted Emissions per GFA]]*tbl_School_Multi[[#This Row],[Total GFA]]</f>
        <v>#DIV/0!</v>
      </c>
      <c r="CK4" s="36">
        <f>(7-tbl_School_Multi[[#This Row],[Target Energy]])/3.75</f>
        <v>1.8666666666666667</v>
      </c>
      <c r="CL4" s="36" t="e">
        <f>tbl_School_Multi[[#This Row],[Predicted Emissions]]*tbl_School_Multi[[#This Row],[Predicted Emissions Ratio]]/tbl_School_Multi[[#This Row],[Total GFA]]</f>
        <v>#DIV/0!</v>
      </c>
      <c r="CM4" s="44" t="e">
        <f>tbl_School_Multi[[#This Row],[Predicted Emissions]]*tbl_School_Multi[[#This Row],[Predicted Emissions Ratio]]</f>
        <v>#DIV/0!</v>
      </c>
      <c r="CN4" s="44" t="e">
        <f>tbl_School_Multi[[#This Row],[Target Max CO2]]/tbl_School_Multi[[#This Row],[EffGHGMJ]]</f>
        <v>#DIV/0!</v>
      </c>
      <c r="CO4" s="44" t="e">
        <f>tbl_School_Multi[[#This Row],[Target Max Energy (MJ)]]/tbl_School_Multi[[#This Row],[Total GFA]]</f>
        <v>#DIV/0!</v>
      </c>
      <c r="CP4" s="44" t="e">
        <f>ROUNDDOWN(tbl_School_Multi[[#This Row],[Target Max Energy (MJ)]]*tbl_School_Multi[[#This Row],[Electricity (%)]]/tbl_School_Multi[[#This Row],[CFelec]],0)</f>
        <v>#DIV/0!</v>
      </c>
      <c r="CQ4" s="44" t="e">
        <f>ROUNDDOWN(tbl_School_Multi[[#This Row],[Target Max Energy (MJ)]]*tbl_School_Multi[[#This Row],[Gas (%)]],0)</f>
        <v>#DIV/0!</v>
      </c>
      <c r="CR4" s="44" t="e">
        <f>ROUNDDOWN(tbl_School_Multi[[#This Row],[Target Max Energy (MJ)]]*tbl_School_Multi[[#This Row],[LPG (%)]]/tbl_School_Multi[[#This Row],[CFlpg]],0)</f>
        <v>#DIV/0!</v>
      </c>
      <c r="CS4" s="44" t="e">
        <f>ROUNDDOWN(tbl_School_Multi[[#This Row],[Target Max Energy (MJ)]]*tbl_School_Multi[[#This Row],[Diesel (%)]]/tbl_School_Multi[[#This Row],[CFdiesel]],0)</f>
        <v>#DIV/0!</v>
      </c>
      <c r="CT4" s="44" t="e">
        <f>SUM(tbl_School_Multi[[#This Row],[Target Max Elec (kWh)]]*tbl_School_Multi[[#This Row],[SGEe Scopes 1,2&amp;3]],
tbl_School_Multi[[#This Row],[Target Max Gas (MJ)]]*tbl_School_Multi[[#This Row],[SGEg Scopes 1,2&amp;3]],
tbl_School_Multi[[#This Row],[Target Max LPG (L)]]*tbl_School_Multi[[#This Row],[SGEl Scopes 1,2&amp;3]],
tbl_School_Multi[[#This Row],[Target Max Diesel (L)]]*tbl_School_Multi[[#This Row],[SGEd Scopes 1,2&amp;3]])</f>
        <v>#DIV/0!</v>
      </c>
      <c r="CU4" s="44" t="e">
        <f>SUM(tbl_School_Multi[[#This Row],[Target Max Elec (kWh)]]*tbl_School_Multi[[#This Row],[SGEe Scopes 1&amp;2]],
tbl_School_Multi[[#This Row],[Target Max Gas (MJ)]]*tbl_School_Multi[[#This Row],[SGEg Scopes 1&amp;2]],
tbl_School_Multi[[#This Row],[Target Max LPG (L)]]*tbl_School_Multi[[#This Row],[SGEl Scopes 1&amp;2]],
tbl_School_Multi[[#This Row],[Target Max Diesel (L)]]*tbl_School_Multi[[#This Row],[SGEd Scopes 1&amp;2]])</f>
        <v>#DIV/0!</v>
      </c>
      <c r="CV4" s="44" t="e">
        <f>((tbl_School_Multi[[#This Row],[C_Total Population_Water]]+tbl_School_Multi[[#This Row],[C_Site Area/Irrigation_Water]])*tbl_School_Multi[[#This Row],[C_Remote Area_Water]]*tbl_School_Multi[[#This Row],[C_School Sector_Water]])+tbl_School_Multi[[#This Row],[C_Swimming Pool_Water]]</f>
        <v>#DIV/0!</v>
      </c>
      <c r="CW4" s="36">
        <f>(7-tbl_School_Multi[[#This Row],[Target Water]])/3.75</f>
        <v>1.8666666666666667</v>
      </c>
      <c r="CX4" s="44" t="e">
        <f>tbl_School_Multi[[#This Row],[Predicted Water]]*tbl_School_Multi[[#This Row],[Target Max Water Ratio]]</f>
        <v>#DIV/0!</v>
      </c>
      <c r="CY4" s="296" t="e">
        <f>tbl_School_Multi[[#This Row],[Target Max Water (kL)]]/tbl_School_Multi[[#This Row],[Total Site Area]]</f>
        <v>#DIV/0!</v>
      </c>
      <c r="CZ4" s="36">
        <f>(7-LEFT(tbl_School_Multi[[#Headers],[6.0* Max Benchmarking Factor]],3))/3.75</f>
        <v>0.26666666666666666</v>
      </c>
      <c r="DA4" s="36">
        <f>(7-LEFT(tbl_School_Multi[[#Headers],[5.5* Max Benchmarking Factor]],3))/3.75</f>
        <v>0.4</v>
      </c>
      <c r="DB4" s="36">
        <f>(7-LEFT(tbl_School_Multi[[#Headers],[5.0* Max Benchmarking Factor]],3))/3.75</f>
        <v>0.53333333333333333</v>
      </c>
      <c r="DC4" s="36">
        <f>(7-LEFT(tbl_School_Multi[[#Headers],[4.5* Max Benchmarking Factor]],3))/3.75</f>
        <v>0.66666666666666663</v>
      </c>
      <c r="DD4" s="36">
        <f>(7-LEFT(tbl_School_Multi[[#Headers],[4.0* Max Benchmarking Factor]],3))/3.75</f>
        <v>0.8</v>
      </c>
      <c r="DE4" s="36">
        <f>(7-LEFT(tbl_School_Multi[[#Headers],[3.5* Max Benchmarking Factor]],3))/3.75</f>
        <v>0.93333333333333335</v>
      </c>
      <c r="DF4" s="36">
        <f>(7-LEFT(tbl_School_Multi[[#Headers],[3.0* Max Benchmarking Factor]],3))/3.75</f>
        <v>1.0666666666666667</v>
      </c>
      <c r="DG4" s="36">
        <f>(7-LEFT(tbl_School_Multi[[#Headers],[2.5* Max Benchmarking Factor]],3))/3.75</f>
        <v>1.2</v>
      </c>
      <c r="DH4" s="36">
        <f>(7-LEFT(tbl_School_Multi[[#Headers],[2.0* Max Benchmarking Factor]],3))/3.75</f>
        <v>1.3333333333333333</v>
      </c>
      <c r="DI4" s="36">
        <f>(7-LEFT(tbl_School_Multi[[#Headers],[1.5* Max Benchmarking Factor]],3))/3.75</f>
        <v>1.4666666666666666</v>
      </c>
      <c r="DJ4" s="36">
        <f>(7-LEFT(tbl_School_Multi[[#Headers],[1.0* Max Benchmarking Factor]],3))/3.75</f>
        <v>1.6</v>
      </c>
      <c r="DK4" s="36">
        <f>(7-LEFT(tbl_School_Multi[[#Headers],[0.0* Max Benchmarking Factor]],3))/3.75</f>
        <v>1.8666666666666667</v>
      </c>
      <c r="DL4" s="44" t="e">
        <f>tbl_School_Multi[[Predicted Emissions]:[Predicted Emissions]]*tbl_School_Multi[[#This Row],[6.0* Max Benchmarking Factor]]</f>
        <v>#DIV/0!</v>
      </c>
      <c r="DM4" s="44" t="e">
        <f>tbl_School_Multi[[Predicted Emissions]:[Predicted Emissions]]*tbl_School_Multi[[#This Row],[5.5* Max Benchmarking Factor]]</f>
        <v>#DIV/0!</v>
      </c>
      <c r="DN4" s="44" t="e">
        <f>tbl_School_Multi[[Predicted Emissions]:[Predicted Emissions]]*tbl_School_Multi[[#This Row],[5.0* Max Benchmarking Factor]]</f>
        <v>#DIV/0!</v>
      </c>
      <c r="DO4" s="44" t="e">
        <f>tbl_School_Multi[[Predicted Emissions]:[Predicted Emissions]]*tbl_School_Multi[[#This Row],[4.5* Max Benchmarking Factor]]</f>
        <v>#DIV/0!</v>
      </c>
      <c r="DP4" s="44" t="e">
        <f>tbl_School_Multi[[Predicted Emissions]:[Predicted Emissions]]*tbl_School_Multi[[#This Row],[4.0* Max Benchmarking Factor]]</f>
        <v>#DIV/0!</v>
      </c>
      <c r="DQ4" s="44" t="e">
        <f>tbl_School_Multi[[Predicted Emissions]:[Predicted Emissions]]*tbl_School_Multi[[#This Row],[3.5* Max Benchmarking Factor]]</f>
        <v>#DIV/0!</v>
      </c>
      <c r="DR4" s="44" t="e">
        <f>tbl_School_Multi[[Predicted Emissions]:[Predicted Emissions]]*tbl_School_Multi[[#This Row],[3.0* Max Benchmarking Factor]]</f>
        <v>#DIV/0!</v>
      </c>
      <c r="DS4" s="44" t="e">
        <f>tbl_School_Multi[[Predicted Emissions]:[Predicted Emissions]]*tbl_School_Multi[[#This Row],[2.5* Max Benchmarking Factor]]</f>
        <v>#DIV/0!</v>
      </c>
      <c r="DT4" s="44" t="e">
        <f>tbl_School_Multi[[Predicted Emissions]:[Predicted Emissions]]*tbl_School_Multi[[#This Row],[2.0* Max Benchmarking Factor]]</f>
        <v>#DIV/0!</v>
      </c>
      <c r="DU4" s="44" t="e">
        <f>tbl_School_Multi[[Predicted Emissions]:[Predicted Emissions]]*tbl_School_Multi[[#This Row],[1.5* Max Benchmarking Factor]]</f>
        <v>#DIV/0!</v>
      </c>
      <c r="DV4" s="44" t="e">
        <f>tbl_School_Multi[[Predicted Emissions]:[Predicted Emissions]]*tbl_School_Multi[[#This Row],[1.0* Max Benchmarking Factor]]</f>
        <v>#DIV/0!</v>
      </c>
      <c r="DW4" s="44" t="e">
        <f>tbl_School_Multi[[Predicted Emissions]:[Predicted Emissions]]*tbl_School_Multi[[#This Row],[0.0* Max Benchmarking Factor]]</f>
        <v>#DIV/0!</v>
      </c>
      <c r="DX4" s="44" t="e">
        <f>tbl_School_Multi[[#This Row],[6.0* Max CO2]]/tbl_School_Multi[[EffGHGMJ]:[EffGHGMJ]]</f>
        <v>#DIV/0!</v>
      </c>
      <c r="DY4" s="44" t="e">
        <f>tbl_School_Multi[[#This Row],[5.5* Max CO2]]/tbl_School_Multi[[EffGHGMJ]:[EffGHGMJ]]</f>
        <v>#DIV/0!</v>
      </c>
      <c r="DZ4" s="44" t="e">
        <f>tbl_School_Multi[[#This Row],[5.0* Max CO2]]/tbl_School_Multi[[EffGHGMJ]:[EffGHGMJ]]</f>
        <v>#DIV/0!</v>
      </c>
      <c r="EA4" s="44" t="e">
        <f>tbl_School_Multi[[#This Row],[4.5* Max CO2]]/tbl_School_Multi[[EffGHGMJ]:[EffGHGMJ]]</f>
        <v>#DIV/0!</v>
      </c>
      <c r="EB4" s="44" t="e">
        <f>tbl_School_Multi[[#This Row],[4.0* Max CO2]]/tbl_School_Multi[[EffGHGMJ]:[EffGHGMJ]]</f>
        <v>#DIV/0!</v>
      </c>
      <c r="EC4" s="44" t="e">
        <f>tbl_School_Multi[[#This Row],[3.5* Max CO2]]/tbl_School_Multi[[EffGHGMJ]:[EffGHGMJ]]</f>
        <v>#DIV/0!</v>
      </c>
      <c r="ED4" s="44" t="e">
        <f>tbl_School_Multi[[#This Row],[3.0* Max CO2]]/tbl_School_Multi[[EffGHGMJ]:[EffGHGMJ]]</f>
        <v>#DIV/0!</v>
      </c>
      <c r="EE4" s="44" t="e">
        <f>tbl_School_Multi[[#This Row],[2.5* Max CO2]]/tbl_School_Multi[[EffGHGMJ]:[EffGHGMJ]]</f>
        <v>#DIV/0!</v>
      </c>
      <c r="EF4" s="44" t="e">
        <f>tbl_School_Multi[[#This Row],[2.0* Max CO2]]/tbl_School_Multi[[EffGHGMJ]:[EffGHGMJ]]</f>
        <v>#DIV/0!</v>
      </c>
      <c r="EG4" s="44" t="e">
        <f>tbl_School_Multi[[#This Row],[1.5* Max CO2]]/tbl_School_Multi[[EffGHGMJ]:[EffGHGMJ]]</f>
        <v>#DIV/0!</v>
      </c>
      <c r="EH4" s="44" t="e">
        <f>tbl_School_Multi[[#This Row],[1.0* Max CO2]]/tbl_School_Multi[[EffGHGMJ]:[EffGHGMJ]]</f>
        <v>#DIV/0!</v>
      </c>
      <c r="EI4" s="44" t="e">
        <f>tbl_School_Multi[[#This Row],[0.0* Max CO2]]/tbl_School_Multi[[EffGHGMJ]:[EffGHGMJ]]</f>
        <v>#DIV/0!</v>
      </c>
      <c r="EJ4" s="44" t="e">
        <f>ROUNDDOWN(tbl_School_Multi[[#This Row],[6.0* Max Energy (MJ)]]*tbl_School_Multi[[Electricity (%)]:[Electricity (%)]]/tbl_School_Multi[[CFelec]:[CFelec]],0)</f>
        <v>#DIV/0!</v>
      </c>
      <c r="EK4" s="44" t="e">
        <f>ROUNDDOWN(tbl_School_Multi[[#This Row],[5.5* Max Energy (MJ)]]*tbl_School_Multi[[Electricity (%)]:[Electricity (%)]]/tbl_School_Multi[[CFelec]:[CFelec]],0)</f>
        <v>#DIV/0!</v>
      </c>
      <c r="EL4" s="44" t="e">
        <f>ROUNDDOWN(tbl_School_Multi[[#This Row],[5.0* Max Energy (MJ)]]*tbl_School_Multi[[Electricity (%)]:[Electricity (%)]]/tbl_School_Multi[[CFelec]:[CFelec]],0)</f>
        <v>#DIV/0!</v>
      </c>
      <c r="EM4" s="44" t="e">
        <f>ROUNDDOWN(tbl_School_Multi[[#This Row],[4.5* Max Energy (MJ)]]*tbl_School_Multi[[Electricity (%)]:[Electricity (%)]]/tbl_School_Multi[[CFelec]:[CFelec]],0)</f>
        <v>#DIV/0!</v>
      </c>
      <c r="EN4" s="44" t="e">
        <f>ROUNDDOWN(tbl_School_Multi[[#This Row],[4.0* Max Energy (MJ)]]*tbl_School_Multi[[Electricity (%)]:[Electricity (%)]]/tbl_School_Multi[[CFelec]:[CFelec]],0)</f>
        <v>#DIV/0!</v>
      </c>
      <c r="EO4" s="44" t="e">
        <f>ROUNDDOWN(tbl_School_Multi[[#This Row],[3.5* Max Energy (MJ)]]*tbl_School_Multi[[Electricity (%)]:[Electricity (%)]]/tbl_School_Multi[[CFelec]:[CFelec]],0)</f>
        <v>#DIV/0!</v>
      </c>
      <c r="EP4" s="44" t="e">
        <f>ROUNDDOWN(tbl_School_Multi[[#This Row],[3.0* Max Energy (MJ)]]*tbl_School_Multi[[Electricity (%)]:[Electricity (%)]]/tbl_School_Multi[[CFelec]:[CFelec]],0)</f>
        <v>#DIV/0!</v>
      </c>
      <c r="EQ4" s="44" t="e">
        <f>ROUNDDOWN(tbl_School_Multi[[#This Row],[2.5* Max Energy (MJ)]]*tbl_School_Multi[[Electricity (%)]:[Electricity (%)]]/tbl_School_Multi[[CFelec]:[CFelec]],0)</f>
        <v>#DIV/0!</v>
      </c>
      <c r="ER4" s="44" t="e">
        <f>ROUNDDOWN(tbl_School_Multi[[#This Row],[2.0* Max Energy (MJ)]]*tbl_School_Multi[[Electricity (%)]:[Electricity (%)]]/tbl_School_Multi[[CFelec]:[CFelec]],0)</f>
        <v>#DIV/0!</v>
      </c>
      <c r="ES4" s="44" t="e">
        <f>ROUNDDOWN(tbl_School_Multi[[#This Row],[1.5* Max Energy (MJ)]]*tbl_School_Multi[[Electricity (%)]:[Electricity (%)]]/tbl_School_Multi[[CFelec]:[CFelec]],0)</f>
        <v>#DIV/0!</v>
      </c>
      <c r="ET4" s="44" t="e">
        <f>ROUNDDOWN(tbl_School_Multi[[#This Row],[1.0* Max Energy (MJ)]]*tbl_School_Multi[[Electricity (%)]:[Electricity (%)]]/tbl_School_Multi[[CFelec]:[CFelec]],0)</f>
        <v>#DIV/0!</v>
      </c>
      <c r="EU4" s="44" t="e">
        <f>ROUNDDOWN(tbl_School_Multi[[#This Row],[0.0* Max Energy (MJ)]]*tbl_School_Multi[[Electricity (%)]:[Electricity (%)]]/tbl_School_Multi[[CFelec]:[CFelec]],0)</f>
        <v>#DIV/0!</v>
      </c>
      <c r="EV4" s="44" t="e">
        <f>ROUNDDOWN(tbl_School_Multi[[#This Row],[6.0* Max Energy (MJ)]]*tbl_School_Multi[[Gas (%)]:[Gas (%)]],0)</f>
        <v>#DIV/0!</v>
      </c>
      <c r="EW4" s="44" t="e">
        <f>ROUNDDOWN(tbl_School_Multi[[#This Row],[5.5* Max Energy (MJ)]]*tbl_School_Multi[[Gas (%)]:[Gas (%)]],0)</f>
        <v>#DIV/0!</v>
      </c>
      <c r="EX4" s="44" t="e">
        <f>ROUNDDOWN(tbl_School_Multi[[#This Row],[5.0* Max Energy (MJ)]]*tbl_School_Multi[[Gas (%)]:[Gas (%)]],0)</f>
        <v>#DIV/0!</v>
      </c>
      <c r="EY4" s="44" t="e">
        <f>ROUNDDOWN(tbl_School_Multi[[#This Row],[4.5* Max Energy (MJ)]]*tbl_School_Multi[[Gas (%)]:[Gas (%)]],0)</f>
        <v>#DIV/0!</v>
      </c>
      <c r="EZ4" s="44" t="e">
        <f>ROUNDDOWN(tbl_School_Multi[[#This Row],[4.0* Max Energy (MJ)]]*tbl_School_Multi[[Gas (%)]:[Gas (%)]],0)</f>
        <v>#DIV/0!</v>
      </c>
      <c r="FA4" s="44" t="e">
        <f>ROUNDDOWN(tbl_School_Multi[[#This Row],[3.5* Max Energy (MJ)]]*tbl_School_Multi[[Gas (%)]:[Gas (%)]],0)</f>
        <v>#DIV/0!</v>
      </c>
      <c r="FB4" s="44" t="e">
        <f>ROUNDDOWN(tbl_School_Multi[[#This Row],[3.0* Max Energy (MJ)]]*tbl_School_Multi[[Gas (%)]:[Gas (%)]],0)</f>
        <v>#DIV/0!</v>
      </c>
      <c r="FC4" s="44" t="e">
        <f>ROUNDDOWN(tbl_School_Multi[[#This Row],[2.5* Max Energy (MJ)]]*tbl_School_Multi[[Gas (%)]:[Gas (%)]],0)</f>
        <v>#DIV/0!</v>
      </c>
      <c r="FD4" s="44" t="e">
        <f>ROUNDDOWN(tbl_School_Multi[[#This Row],[2.0* Max Energy (MJ)]]*tbl_School_Multi[[Gas (%)]:[Gas (%)]],0)</f>
        <v>#DIV/0!</v>
      </c>
      <c r="FE4" s="44" t="e">
        <f>ROUNDDOWN(tbl_School_Multi[[#This Row],[1.5* Max Energy (MJ)]]*tbl_School_Multi[[Gas (%)]:[Gas (%)]],0)</f>
        <v>#DIV/0!</v>
      </c>
      <c r="FF4" s="44" t="e">
        <f>ROUNDDOWN(tbl_School_Multi[[#This Row],[1.0* Max Energy (MJ)]]*tbl_School_Multi[[Gas (%)]:[Gas (%)]],0)</f>
        <v>#DIV/0!</v>
      </c>
      <c r="FG4" s="44" t="e">
        <f>ROUNDDOWN(tbl_School_Multi[[#This Row],[0.0* Max Energy (MJ)]]*tbl_School_Multi[[Gas (%)]:[Gas (%)]],0)</f>
        <v>#DIV/0!</v>
      </c>
      <c r="FH4" s="44" t="e">
        <f>ROUNDDOWN(tbl_School_Multi[[#This Row],[6.0* Max Energy (MJ)]]*tbl_School_Multi[[LPG (%)]:[LPG (%)]]/tbl_School_Multi[[CFlpg]:[CFlpg]],0)</f>
        <v>#DIV/0!</v>
      </c>
      <c r="FI4" s="44" t="e">
        <f>ROUNDDOWN(tbl_School_Multi[[#This Row],[5.5* Max Energy (MJ)]]*tbl_School_Multi[[LPG (%)]:[LPG (%)]]/tbl_School_Multi[[CFlpg]:[CFlpg]],0)</f>
        <v>#DIV/0!</v>
      </c>
      <c r="FJ4" s="44" t="e">
        <f>ROUNDDOWN(tbl_School_Multi[[#This Row],[5.0* Max Energy (MJ)]]*tbl_School_Multi[[LPG (%)]:[LPG (%)]]/tbl_School_Multi[[CFlpg]:[CFlpg]],0)</f>
        <v>#DIV/0!</v>
      </c>
      <c r="FK4" s="44" t="e">
        <f>ROUNDDOWN(tbl_School_Multi[[#This Row],[4.5* Max Energy (MJ)]]*tbl_School_Multi[[LPG (%)]:[LPG (%)]]/tbl_School_Multi[[CFlpg]:[CFlpg]],0)</f>
        <v>#DIV/0!</v>
      </c>
      <c r="FL4" s="44" t="e">
        <f>ROUNDDOWN(tbl_School_Multi[[#This Row],[4.0* Max Energy (MJ)]]*tbl_School_Multi[[LPG (%)]:[LPG (%)]]/tbl_School_Multi[[CFlpg]:[CFlpg]],0)</f>
        <v>#DIV/0!</v>
      </c>
      <c r="FM4" s="44" t="e">
        <f>ROUNDDOWN(tbl_School_Multi[[#This Row],[3.5* Max Energy (MJ)]]*tbl_School_Multi[[LPG (%)]:[LPG (%)]]/tbl_School_Multi[[CFlpg]:[CFlpg]],0)</f>
        <v>#DIV/0!</v>
      </c>
      <c r="FN4" s="44" t="e">
        <f>ROUNDDOWN(tbl_School_Multi[[#This Row],[3.0* Max Energy (MJ)]]*tbl_School_Multi[[LPG (%)]:[LPG (%)]]/tbl_School_Multi[[CFlpg]:[CFlpg]],0)</f>
        <v>#DIV/0!</v>
      </c>
      <c r="FO4" s="44" t="e">
        <f>ROUNDDOWN(tbl_School_Multi[[#This Row],[2.5* Max Energy (MJ)]]*tbl_School_Multi[[LPG (%)]:[LPG (%)]]/tbl_School_Multi[[CFlpg]:[CFlpg]],0)</f>
        <v>#DIV/0!</v>
      </c>
      <c r="FP4" s="44" t="e">
        <f>ROUNDDOWN(tbl_School_Multi[[#This Row],[2.0* Max Energy (MJ)]]*tbl_School_Multi[[LPG (%)]:[LPG (%)]]/tbl_School_Multi[[CFlpg]:[CFlpg]],0)</f>
        <v>#DIV/0!</v>
      </c>
      <c r="FQ4" s="44" t="e">
        <f>ROUNDDOWN(tbl_School_Multi[[#This Row],[1.5* Max Energy (MJ)]]*tbl_School_Multi[[LPG (%)]:[LPG (%)]]/tbl_School_Multi[[CFlpg]:[CFlpg]],0)</f>
        <v>#DIV/0!</v>
      </c>
      <c r="FR4" s="44" t="e">
        <f>ROUNDDOWN(tbl_School_Multi[[#This Row],[1.0* Max Energy (MJ)]]*tbl_School_Multi[[LPG (%)]:[LPG (%)]]/tbl_School_Multi[[CFlpg]:[CFlpg]],0)</f>
        <v>#DIV/0!</v>
      </c>
      <c r="FS4" s="44" t="e">
        <f>ROUNDDOWN(tbl_School_Multi[[#This Row],[0.0* Max Energy (MJ)]]*tbl_School_Multi[[LPG (%)]:[LPG (%)]]/tbl_School_Multi[[CFlpg]:[CFlpg]],0)</f>
        <v>#DIV/0!</v>
      </c>
      <c r="FT4" s="44" t="e">
        <f>ROUNDDOWN(tbl_School_Multi[[#This Row],[6.0* Max Energy (MJ)]]*tbl_School_Multi[[Diesel (%)]:[Diesel (%)]]/tbl_School_Multi[[CFdiesel]:[CFdiesel]],0)</f>
        <v>#DIV/0!</v>
      </c>
      <c r="FU4" s="44" t="e">
        <f>ROUNDDOWN(tbl_School_Multi[[#This Row],[5.5* Max Energy (MJ)]]*tbl_School_Multi[[Diesel (%)]:[Diesel (%)]]/tbl_School_Multi[[CFdiesel]:[CFdiesel]],0)</f>
        <v>#DIV/0!</v>
      </c>
      <c r="FV4" s="44" t="e">
        <f>ROUNDDOWN(tbl_School_Multi[[#This Row],[5.0* Max Energy (MJ)]]*tbl_School_Multi[[Diesel (%)]:[Diesel (%)]]/tbl_School_Multi[[CFdiesel]:[CFdiesel]],0)</f>
        <v>#DIV/0!</v>
      </c>
      <c r="FW4" s="44" t="e">
        <f>ROUNDDOWN(tbl_School_Multi[[#This Row],[4.5* Max Energy (MJ)]]*tbl_School_Multi[[Diesel (%)]:[Diesel (%)]]/tbl_School_Multi[[CFdiesel]:[CFdiesel]],0)</f>
        <v>#DIV/0!</v>
      </c>
      <c r="FX4" s="44" t="e">
        <f>ROUNDDOWN(tbl_School_Multi[[#This Row],[4.0* Max Energy (MJ)]]*tbl_School_Multi[[Diesel (%)]:[Diesel (%)]]/tbl_School_Multi[[CFdiesel]:[CFdiesel]],0)</f>
        <v>#DIV/0!</v>
      </c>
      <c r="FY4" s="44" t="e">
        <f>ROUNDDOWN(tbl_School_Multi[[#This Row],[3.5* Max Energy (MJ)]]*tbl_School_Multi[[Diesel (%)]:[Diesel (%)]]/tbl_School_Multi[[CFdiesel]:[CFdiesel]],0)</f>
        <v>#DIV/0!</v>
      </c>
      <c r="FZ4" s="44" t="e">
        <f>ROUNDDOWN(tbl_School_Multi[[#This Row],[3.0* Max Energy (MJ)]]*tbl_School_Multi[[Diesel (%)]:[Diesel (%)]]/tbl_School_Multi[[CFdiesel]:[CFdiesel]],0)</f>
        <v>#DIV/0!</v>
      </c>
      <c r="GA4" s="44" t="e">
        <f>ROUNDDOWN(tbl_School_Multi[[#This Row],[2.5* Max Energy (MJ)]]*tbl_School_Multi[[Diesel (%)]:[Diesel (%)]]/tbl_School_Multi[[CFdiesel]:[CFdiesel]],0)</f>
        <v>#DIV/0!</v>
      </c>
      <c r="GB4" s="44" t="e">
        <f>ROUNDDOWN(tbl_School_Multi[[#This Row],[2.0* Max Energy (MJ)]]*tbl_School_Multi[[Diesel (%)]:[Diesel (%)]]/tbl_School_Multi[[CFdiesel]:[CFdiesel]],0)</f>
        <v>#DIV/0!</v>
      </c>
      <c r="GC4" s="44" t="e">
        <f>ROUNDDOWN(tbl_School_Multi[[#This Row],[1.5* Max Energy (MJ)]]*tbl_School_Multi[[Diesel (%)]:[Diesel (%)]]/tbl_School_Multi[[CFdiesel]:[CFdiesel]],0)</f>
        <v>#DIV/0!</v>
      </c>
      <c r="GD4" s="44" t="e">
        <f>ROUNDDOWN(tbl_School_Multi[[#This Row],[1.0* Max Energy (MJ)]]*tbl_School_Multi[[Diesel (%)]:[Diesel (%)]]/tbl_School_Multi[[CFdiesel]:[CFdiesel]],0)</f>
        <v>#DIV/0!</v>
      </c>
      <c r="GE4" s="44" t="e">
        <f>ROUNDDOWN(tbl_School_Multi[[#This Row],[0.0* Max Energy (MJ)]]*tbl_School_Multi[[Diesel (%)]:[Diesel (%)]]/tbl_School_Multi[[CFdiesel]:[CFdiesel]],0)</f>
        <v>#DIV/0!</v>
      </c>
      <c r="GF4" s="44" t="e">
        <f>tbl_School_Multi[[Predicted Water]:[Predicted Water]]*tbl_School_Multi[[#This Row],[6.0* Max Benchmarking Factor]]</f>
        <v>#DIV/0!</v>
      </c>
      <c r="GG4" s="44" t="e">
        <f>tbl_School_Multi[[Predicted Water]:[Predicted Water]]*tbl_School_Multi[[#This Row],[5.5* Max Benchmarking Factor]]</f>
        <v>#DIV/0!</v>
      </c>
      <c r="GH4" s="44" t="e">
        <f>tbl_School_Multi[[Predicted Water]:[Predicted Water]]*tbl_School_Multi[[#This Row],[5.0* Max Benchmarking Factor]]</f>
        <v>#DIV/0!</v>
      </c>
      <c r="GI4" s="44" t="e">
        <f>tbl_School_Multi[[Predicted Water]:[Predicted Water]]*tbl_School_Multi[[#This Row],[4.5* Max Benchmarking Factor]]</f>
        <v>#DIV/0!</v>
      </c>
      <c r="GJ4" s="44" t="e">
        <f>tbl_School_Multi[[Predicted Water]:[Predicted Water]]*tbl_School_Multi[[#This Row],[4.0* Max Benchmarking Factor]]</f>
        <v>#DIV/0!</v>
      </c>
      <c r="GK4" s="44" t="e">
        <f>tbl_School_Multi[[Predicted Water]:[Predicted Water]]*tbl_School_Multi[[#This Row],[3.5* Max Benchmarking Factor]]</f>
        <v>#DIV/0!</v>
      </c>
      <c r="GL4" s="44" t="e">
        <f>tbl_School_Multi[[Predicted Water]:[Predicted Water]]*tbl_School_Multi[[#This Row],[3.0* Max Benchmarking Factor]]</f>
        <v>#DIV/0!</v>
      </c>
      <c r="GM4" s="44" t="e">
        <f>tbl_School_Multi[[Predicted Water]:[Predicted Water]]*tbl_School_Multi[[#This Row],[2.5* Max Benchmarking Factor]]</f>
        <v>#DIV/0!</v>
      </c>
      <c r="GN4" s="44" t="e">
        <f>tbl_School_Multi[[Predicted Water]:[Predicted Water]]*tbl_School_Multi[[#This Row],[2.0* Max Benchmarking Factor]]</f>
        <v>#DIV/0!</v>
      </c>
      <c r="GO4" s="44" t="e">
        <f>tbl_School_Multi[[Predicted Water]:[Predicted Water]]*tbl_School_Multi[[#This Row],[1.5* Max Benchmarking Factor]]</f>
        <v>#DIV/0!</v>
      </c>
      <c r="GP4" s="44" t="e">
        <f>tbl_School_Multi[[Predicted Water]:[Predicted Water]]*tbl_School_Multi[[#This Row],[1.0* Max Benchmarking Factor]]</f>
        <v>#DIV/0!</v>
      </c>
      <c r="GQ4" s="44" t="e">
        <f>tbl_School_Multi[[Predicted Water]:[Predicted Water]]*tbl_School_Multi[[#This Row],[0.0* Max Benchmarking Factor]]</f>
        <v>#DIV/0!</v>
      </c>
      <c r="GR4" s="44" t="e">
        <f>SUM(tbl_School_Multi[[#This Row],[Electricity]]*(1-tbl_School_Multi[[#This Row],[GP]])*tbl_School_Multi[[#This Row],[SGEe Scopes 1,2&amp;3]],
tbl_School_Multi[[#This Row],[Gas]]*tbl_School_Multi[[#This Row],[SGEg Scopes 1,2&amp;3]],
tbl_School_Multi[[#This Row],[LPG]]*tbl_School_Multi[[#This Row],[SGEl Scopes 1,2&amp;3]],
tbl_School_Multi[[#This Row],[Diesel]]*tbl_School_Multi[[#This Row],[SGEd Scopes 1,2&amp;3]])</f>
        <v>#N/A</v>
      </c>
      <c r="GS4" s="44" t="e">
        <f>SUM(tbl_School_Multi[[#This Row],[Electricity]]*(1-tbl_School_Multi[[#This Row],[GP]])*tbl_School_Multi[[#This Row],[SGEe Scopes 1&amp;2]],
tbl_School_Multi[[#This Row],[Gas]]*tbl_School_Multi[[#This Row],[SGEg Scopes 1&amp;2]],
tbl_School_Multi[[#This Row],[LPG]]*tbl_School_Multi[[#This Row],[SGEl Scopes 1&amp;2]],
tbl_School_Multi[[#This Row],[Diesel]]*tbl_School_Multi[[#This Row],[SGEd Scopes 1&amp;2]])</f>
        <v>#N/A</v>
      </c>
      <c r="GT4" s="45" t="e">
        <f>SUM(tbl_School_Multi[[#This Row],[Electricity]]*(1-tbl_School_Multi[[#This Row],[GP]])*tbl_School_Multi[[#This Row],[SGEe]],
tbl_School_Multi[[#This Row],[Gas]]*tbl_School_Multi[[#This Row],[SGEg]],
tbl_School_Multi[[#This Row],[LPG]]*tbl_School_Multi[[#This Row],[SGEl]]*tbl_School_Multi[[#This Row],[CFlpg]],
tbl_School_Multi[[#This Row],[Diesel]]*tbl_School_Multi[[#This Row],[SGEd]])</f>
        <v>#N/A</v>
      </c>
      <c r="GU4" s="45" t="e">
        <f>SUM(tbl_School_Multi[[#This Row],[Electricity]]*tbl_School_Multi[[#This Row],[SGEe]],
tbl_School_Multi[[#This Row],[Gas]]*tbl_School_Multi[[#This Row],[SGEg]],
tbl_School_Multi[[#This Row],[LPG]]*tbl_School_Multi[[#This Row],[SGEl]]*tbl_School_Multi[[#This Row],[CFlpg]],
tbl_School_Multi[[#This Row],[Diesel]]*tbl_School_Multi[[#This Row],[SGEd]])</f>
        <v>#N/A</v>
      </c>
      <c r="GV4" s="45" t="e">
        <f>tbl_School_Multi[[#This Row],[Actual Emissions with GP]]/tbl_School_Multi[[#This Row],[Predicted Emissions]]</f>
        <v>#N/A</v>
      </c>
      <c r="GW4" s="45" t="e">
        <f>tbl_School_Multi[[#This Row],[Actual Emissions w/o GP]]/tbl_School_Multi[[#This Row],[Predicted Emissions]]</f>
        <v>#N/A</v>
      </c>
      <c r="GX4" s="45" t="e">
        <f>7-3.75*tbl_School_Multi[[#This Row],[Actual/Predicted Emissions with GP]]</f>
        <v>#N/A</v>
      </c>
      <c r="GY4" s="45" t="e">
        <f>7-3.75*tbl_School_Multi[[#This Row],[Actual/Predicted Emissions w/o GP]]</f>
        <v>#N/A</v>
      </c>
      <c r="GZ4" s="45" t="e">
        <f>MAX(MIN(ROUNDDOWN(tbl_School_Multi[[#This Row],[Energy Star Decimal with GP]]*2,0)/2,6),0)</f>
        <v>#N/A</v>
      </c>
      <c r="HA4" s="45" t="e">
        <f>MAX(MIN(ROUNDDOWN(tbl_School_Multi[[#This Row],[Energy Star Decimal w/o GP]]*2,0)/2,6),0)</f>
        <v>#N/A</v>
      </c>
      <c r="HB4" s="828">
        <f>tbl_School_Multi[[#This Row],[Water]]*(1-tbl_School_Multi[[#This Row],[RW]])</f>
        <v>0</v>
      </c>
      <c r="HC4" s="828">
        <f>tbl_School_Multi[[#This Row],[Water]]</f>
        <v>0</v>
      </c>
      <c r="HD4" s="822" t="e">
        <f>tbl_School_Multi[[#This Row],[Actual Water with RW]]/tbl_School_Multi[[#This Row],[Predicted Water]]</f>
        <v>#DIV/0!</v>
      </c>
      <c r="HE4" s="822" t="e">
        <f>tbl_School_Multi[[#This Row],[Actual Water w/o RW]]/tbl_School_Multi[[#This Row],[Predicted Water]]</f>
        <v>#DIV/0!</v>
      </c>
      <c r="HF4" s="822" t="e">
        <f>7-3.75*tbl_School_Multi[[#This Row],[Actual/Predicted Water with RW]]</f>
        <v>#DIV/0!</v>
      </c>
      <c r="HG4" s="822" t="e">
        <f>7-3.75*tbl_School_Multi[[#This Row],[Actual/Predicted Water w/o RW]]</f>
        <v>#DIV/0!</v>
      </c>
      <c r="HH4" s="822" t="e">
        <f>MAX(MIN(ROUNDDOWN(tbl_School_Multi[[#This Row],[Water Star Decimal with RW]]*2,0)/2,6),0)</f>
        <v>#DIV/0!</v>
      </c>
      <c r="HI4" s="822" t="e">
        <f>MAX(MIN(ROUNDDOWN(tbl_School_Multi[[#This Row],[Water Star Decimal w/o RW]]*2,0)/2,6),0)</f>
        <v>#DIV/0!</v>
      </c>
    </row>
    <row r="5" spans="1:217" ht="16.5" customHeight="1">
      <c r="A5" s="484">
        <v>4</v>
      </c>
      <c r="B5" s="484">
        <v>1.5</v>
      </c>
      <c r="C5" s="485">
        <v>2200</v>
      </c>
      <c r="D5" s="485" t="s">
        <v>1003</v>
      </c>
      <c r="E5" s="485" t="s">
        <v>1004</v>
      </c>
      <c r="F5" s="488">
        <v>18220</v>
      </c>
      <c r="G5" s="488">
        <v>5000</v>
      </c>
      <c r="H5" s="488">
        <v>80</v>
      </c>
      <c r="I5" s="488">
        <v>10</v>
      </c>
      <c r="J5" s="488">
        <v>50</v>
      </c>
      <c r="K5" s="488">
        <v>50</v>
      </c>
      <c r="L5" s="488">
        <v>10</v>
      </c>
      <c r="M5" s="486" t="s">
        <v>653</v>
      </c>
      <c r="N5" s="486">
        <v>230</v>
      </c>
      <c r="O5" s="487">
        <v>0.8</v>
      </c>
      <c r="P5" s="487">
        <v>0.1</v>
      </c>
      <c r="Q5" s="487">
        <v>0.05</v>
      </c>
      <c r="R5" s="487">
        <v>0.05</v>
      </c>
      <c r="S5" s="126">
        <f>tbl_School_Multi[[#This Row],[Predicted Emissions Ratio]]</f>
        <v>0.8</v>
      </c>
      <c r="T5" s="42">
        <f>tbl_School_Multi[[#This Row],[Predicted Emissions]]</f>
        <v>221167.20440696785</v>
      </c>
      <c r="U5" s="42">
        <f>tbl_School_Multi[[#This Row],[Target Max CO2]]</f>
        <v>176933.76352557429</v>
      </c>
      <c r="V5" s="42">
        <f>tbl_School_Multi[[#This Row],[Target Max GE]]</f>
        <v>35.386752705114858</v>
      </c>
      <c r="W5" s="378">
        <f>tbl_School_Multi[[#This Row],[Target Max Energy Intensity]]</f>
        <v>185.82204486956297</v>
      </c>
      <c r="X5" s="42">
        <f>tbl_School_Multi[[#This Row],[Target Scopes 1,2&amp;3]]</f>
        <v>176930.03435000003</v>
      </c>
      <c r="Y5" s="42">
        <f>tbl_School_Multi[[#This Row],[Target Scopes 1&amp;2]]</f>
        <v>161583.39493000001</v>
      </c>
      <c r="Z5" s="42">
        <f>tbl_School_Multi[[#This Row],[Target Max Elec (kWh)]]</f>
        <v>206468</v>
      </c>
      <c r="AA5" s="42">
        <f>tbl_School_Multi[[#This Row],[Target Max Gas (MJ)]]</f>
        <v>92911</v>
      </c>
      <c r="AB5" s="42">
        <f>tbl_School_Multi[[#This Row],[Target Max LPG (L)]]</f>
        <v>1807</v>
      </c>
      <c r="AC5" s="42">
        <f>tbl_School_Multi[[#This Row],[Target Max Diesel (L)]]</f>
        <v>1203</v>
      </c>
      <c r="AD5" s="839">
        <f>tbl_School_Multi[[#This Row],[Target Max Water Ratio]]</f>
        <v>1.4666666666666666</v>
      </c>
      <c r="AE5" s="42">
        <f>tbl_School_Multi[[#This Row],[Predicted Water]]</f>
        <v>4339.0566229662772</v>
      </c>
      <c r="AF5" s="42">
        <f>tbl_School_Multi[[#This Row],[Target Max Water (kL)]]</f>
        <v>6363.9497136838727</v>
      </c>
      <c r="AG5" s="839">
        <f>tbl_School_Multi[[#This Row],[Target Max Water Intensity]]</f>
        <v>0.34928373840196886</v>
      </c>
      <c r="AH5" s="285">
        <f>School_Elec_FWD</f>
        <v>0</v>
      </c>
      <c r="AI5" s="285">
        <f>School_GreenPower_Percent_FWD</f>
        <v>0</v>
      </c>
      <c r="AJ5" s="285">
        <f>School_Gas_FWD</f>
        <v>0</v>
      </c>
      <c r="AK5" s="285">
        <f>School_LPG_FWD</f>
        <v>0</v>
      </c>
      <c r="AL5" s="285">
        <f>School_Diesel_FWD</f>
        <v>0</v>
      </c>
      <c r="AM5" s="776">
        <f>School_Water_FWD</f>
        <v>0</v>
      </c>
      <c r="AN5" s="776">
        <f>School_RW_Percent_FWD</f>
        <v>0</v>
      </c>
      <c r="AO5" s="45" t="str">
        <f>_xlfn.XLOOKUP(tbl_School_Multi[[#This Row],[Postcode]],tbl_Climate_Lookup[Postcode],tbl_Climate_Lookup[State])</f>
        <v>NSW</v>
      </c>
      <c r="AP5" s="45">
        <f>_xlfn.XLOOKUP(tbl_School_Multi[[#This Row],[Postcode]],tbl_Climate_Lookup[Postcode],tbl_Climate_Lookup[Climate zone])</f>
        <v>63</v>
      </c>
      <c r="AQ5" s="45">
        <f>_xlfn.XLOOKUP(tbl_School_Multi[[#This Row],[Postcode]],tbl_Climate_Lookup[Postcode],tbl_Climate_Lookup[HDD])</f>
        <v>642</v>
      </c>
      <c r="AR5" s="45">
        <f>_xlfn.XLOOKUP(tbl_School_Multi[[#This Row],[Postcode]],tbl_Climate_Lookup[Postcode],tbl_Climate_Lookup[CDD])</f>
        <v>541</v>
      </c>
      <c r="AS5" s="45">
        <f>_xlfn.XLOOKUP(tbl_School_Multi[[#This Row],[Postcode]],tbl_Climate_Lookup[Postcode],tbl_Climate_Lookup[IRR])</f>
        <v>751.44065116284287</v>
      </c>
      <c r="AT5" s="46">
        <f>_xlfn.XLOOKUP(tbl_School_Multi[[#This Row],[State]],tbl_SGE_School_2022[State],tbl_SGE_School_2022[Electricity
(kgCO2/kWh)])</f>
        <v>0.79</v>
      </c>
      <c r="AU5" s="46">
        <f>_xlfn.XLOOKUP(tbl_School_Multi[[#This Row],[State]],tbl_SGE_School_2022[State],tbl_SGE_School_2022[Gas
(kgCO2/MJ)])</f>
        <v>6.4630000000000007E-2</v>
      </c>
      <c r="AV5" s="46">
        <f>_xlfn.XLOOKUP(tbl_School_Multi[[#This Row],[State]],tbl_SGE_School_2022[State],tbl_SGE_School_2022[LPG
(kgCO2/MJ)])</f>
        <v>8.0799999999999997E-2</v>
      </c>
      <c r="AW5" s="46">
        <f>_xlfn.XLOOKUP(tbl_School_Multi[[#This Row],[State]],tbl_SGE_School_2022[State],tbl_SGE_School_2022[Diesel
(kgCO2/L)])</f>
        <v>3.3774999999999999</v>
      </c>
      <c r="AX5" s="46">
        <f>_xlfn.XLOOKUP(tbl_School_Multi[[#This Row],[State]],tbl_SGE_School_2022[State],tbl_SGE_School_2022[LPG
(kgCO2/L)])</f>
        <v>2.0765600000000002</v>
      </c>
      <c r="AY5" s="46">
        <f>_xlfn.XLOOKUP(tbl_School_Multi[[#This Row],[State]],tbl_SGE_School_2022[State],tbl_SGE_School_2022[Electricity Factors])</f>
        <v>1</v>
      </c>
      <c r="AZ5" s="46">
        <f>_xlfn.XLOOKUP(tbl_School_Multi[[#This Row],[State]],tbl_SGE_School_2022[State],tbl_SGE_School_2022[[Gas Factors ]])</f>
        <v>1</v>
      </c>
      <c r="BA5" s="50">
        <f>INDEX(tbl_Conversion_Factors[[Conversion Factors]:[Conversion Factors]],MATCH(tbl_School_Multi[[#Headers],[CFelec]],tbl_Conversion_Factors[[Reference]:[Reference]],0))</f>
        <v>3.6</v>
      </c>
      <c r="BB5" s="50">
        <f>INDEX(tbl_Conversion_Factors[[Conversion Factors]:[Conversion Factors]],MATCH(tbl_School_Multi[[#Headers],[CFlpg]],tbl_Conversion_Factors[[Reference]:[Reference]],0))</f>
        <v>25.7</v>
      </c>
      <c r="BC5" s="50">
        <f>INDEX(tbl_Conversion_Factors[[Conversion Factors]:[Conversion Factors]],MATCH(tbl_School_Multi[[#Headers],[CFdiesel]],tbl_Conversion_Factors[[Reference]:[Reference]],0))</f>
        <v>38.6</v>
      </c>
      <c r="BD5" s="45">
        <f>tbl_School_Multi[[#This Row],[SGEe]]/tbl_School_Multi[[#This Row],[CFelec]]</f>
        <v>0.21944444444444444</v>
      </c>
      <c r="BE5" s="45">
        <f>tbl_School_Multi[[#This Row],[SGEd]]/tbl_School_Multi[[#This Row],[CFdiesel]]</f>
        <v>8.7499999999999994E-2</v>
      </c>
      <c r="BF5" s="46">
        <f>IF(SUM(tbl_School_Multi[[#This Row],[Electricity (%)]:[Diesel (%)]])=1,
SUM(tbl_School_Multi[[#This Row],[Electricity (%)]]*tbl_School_Multi[[#This Row],[SGEeMJ]],
tbl_School_Multi[[#This Row],[Gas (%)]]*tbl_School_Multi[[#This Row],[SGEg]],
tbl_School_Multi[[#This Row],[LPG (%)]]*tbl_School_Multi[[#This Row],[SGEl]],
tbl_School_Multi[[#This Row],[Diesel (%)]]*tbl_School_Multi[[#This Row],[SGEdMJ]]),
0)</f>
        <v>0.19043355555555555</v>
      </c>
      <c r="BG5" s="46">
        <f>INDEX(tbl_NGA_Factors_2022[#Data],MATCH(tbl_School_Multi[[State]:[State]],tbl_NGA_Factors_2022[[State]:[State]],0),MATCH(tbl_School_Multi[[#Headers],[SGEe Scopes 1,2&amp;3]],tbl_NGA_Factors_2022[#Headers],0))</f>
        <v>0.79</v>
      </c>
      <c r="BH5" s="46">
        <f>INDEX(tbl_NGA_Factors_2022[#Data],MATCH(tbl_School_Multi[[State]:[State]],tbl_NGA_Factors_2022[[State]:[State]],0),MATCH(tbl_School_Multi[[#Headers],[SGEg Scopes 1,2&amp;3]],tbl_NGA_Factors_2022[#Headers],0))</f>
        <v>6.4630000000000007E-2</v>
      </c>
      <c r="BI5" s="46">
        <f>INDEX(tbl_NGA_Factors_2022[#Data],MATCH(tbl_School_Multi[[State]:[State]],tbl_NGA_Factors_2022[[State]:[State]],0),MATCH(tbl_School_Multi[[#Headers],[SGEl Scopes 1,2&amp;3]],tbl_NGA_Factors_2022[#Headers],0))</f>
        <v>2.0765599999999997</v>
      </c>
      <c r="BJ5" s="46">
        <f>INDEX(tbl_NGA_Factors_2022[#Data],MATCH(tbl_School_Multi[[State]:[State]],tbl_NGA_Factors_2022[[State]:[State]],0),MATCH(tbl_School_Multi[[#Headers],[SGEd Scopes 1,2&amp;3]],tbl_NGA_Factors_2022[#Headers],0))</f>
        <v>3.3775000000000004</v>
      </c>
      <c r="BK5" s="46">
        <f>INDEX(tbl_NGA_Factors_2022[#Data],MATCH(tbl_School_Multi[[State]:[State]],tbl_NGA_Factors_2022[[State]:[State]],0),MATCH(tbl_School_Multi[[#Headers],[SGEe Scopes 1&amp;2]],tbl_NGA_Factors_2022[#Headers],0))</f>
        <v>0.73</v>
      </c>
      <c r="BL5" s="46">
        <f>INDEX(tbl_NGA_Factors_2022[#Data],MATCH(tbl_School_Multi[[State]:[State]],tbl_NGA_Factors_2022[[State]:[State]],0),MATCH(tbl_School_Multi[[#Headers],[SGEg Scopes 1&amp;2]],tbl_NGA_Factors_2022[#Headers],0))</f>
        <v>5.1529999999999999E-2</v>
      </c>
      <c r="BM5" s="46">
        <f>INDEX(tbl_NGA_Factors_2022[#Data],MATCH(tbl_School_Multi[[State]:[State]],tbl_NGA_Factors_2022[[State]:[State]],0),MATCH(tbl_School_Multi[[#Headers],[SGEl Scopes 1&amp;2]],tbl_NGA_Factors_2022[#Headers],0))</f>
        <v>1.55742</v>
      </c>
      <c r="BN5" s="46">
        <f>INDEX(tbl_NGA_Factors_2022[#Data],MATCH(tbl_School_Multi[[State]:[State]],tbl_NGA_Factors_2022[[State]:[State]],0),MATCH(tbl_School_Multi[[#Headers],[SGEd Scopes 1&amp;2]],tbl_NGA_Factors_2022[#Headers],0))</f>
        <v>2.7097199999999999</v>
      </c>
      <c r="BO5" s="45">
        <f>SUM(tbl_School_Multi[[#This Row],[FTE ELC]:[FTE Special Needs]])</f>
        <v>120</v>
      </c>
      <c r="BP5" s="45">
        <f>SUM(tbl_School_Multi[[#This Row],[FTE Staff]],tbl_School_Multi[[#This Row],[Total Students]])</f>
        <v>200</v>
      </c>
      <c r="BQ5" s="45">
        <f>tbl_School_Multi[[#This Row],[Total Students]]/tbl_School_Multi[[#This Row],[Total GFA]]</f>
        <v>2.4E-2</v>
      </c>
      <c r="BR5" s="787">
        <f>tbl_School_Multi[[#This Row],[FTE ELC]]/tbl_School_Multi[[#This Row],[Total Students]]</f>
        <v>8.3333333333333329E-2</v>
      </c>
      <c r="BS5" s="787">
        <f>tbl_School_Multi[[#This Row],[FTE Primary]]/tbl_School_Multi[[#This Row],[Total Students]]</f>
        <v>0.41666666666666669</v>
      </c>
      <c r="BT5" s="787">
        <f>tbl_School_Multi[[#This Row],[FTE Secondary]]/tbl_School_Multi[[#This Row],[Total Students]]</f>
        <v>0.41666666666666669</v>
      </c>
      <c r="BU5" s="787">
        <f>tbl_School_Multi[[#This Row],[FTE Special Needs]]/tbl_School_Multi[[#This Row],[Total Students]]</f>
        <v>8.3333333333333329E-2</v>
      </c>
      <c r="BV5" s="45" t="str">
        <f>IF(tbl_School_Multi[[#This Row],[ELC/Total Students]]=100%,"ELC Only",IF(tbl_School_Multi[[#This Row],[Special Needs/Total Students]]=100%,"Special Education/Needs Only",IF(AND(tbl_School_Multi[[#This Row],[Primary/Total Students]]&gt;0,tbl_School_Multi[[#This Row],[Secondary/Total Students]]=0),"Primary",IF(AND(tbl_School_Multi[[#This Row],[Secondary/Total Students]]&gt;0,tbl_School_Multi[[#This Row],[Primary/Total Students]]=0),"Secondary","Mixed"))))</f>
        <v>Mixed</v>
      </c>
      <c r="BW5" s="45">
        <f>(37.905*tbl_School_Multi[[#This Row],[ELC/Total Students]]+43.433*tbl_School_Multi[[#This Row],[Primary/Total Students]]+73.552*tbl_School_Multi[[#This Row],[Secondary/Total Students]]+197.75*tbl_School_Multi[[#This Row],[Special Needs/Total Students]])*tbl_School_Multi[[#This Row],[Students/ GFA m²]]+24.85</f>
        <v>26.491160000000001</v>
      </c>
      <c r="BX5" s="45">
        <f>IF(tbl_School_Multi[[#This Row],[CDD]]&lt;1200,5.4068*(10^-4)*tbl_School_Multi[[#This Row],[CDD]]+1.8075*(10^-4)*tbl_School_Multi[[#This Row],[HDD]]+0.52462, 2.8799*(10^-4)*tbl_School_Multi[[#This Row],[CDD]]+1.8075*(10^-4)*tbl_School_Multi[[#This Row],[HDD]]+0.8272)</f>
        <v>0.93316938000000005</v>
      </c>
      <c r="BY5" s="45">
        <f>IF(tbl_School_Multi[[#This Row],[School Remote Area]]="Very Remote",1.232,IF(tbl_School_Multi[[#This Row],[School Remote Area]]="Remote",1.06, IF(tbl_School_Multi[[#This Row],[School Remote Area]]="Inner Regional",0.957,IF(tbl_School_Multi[[#This Row],[School Remote Area]]="Outer Regional",1.063,1))))</f>
        <v>1</v>
      </c>
      <c r="BZ5" s="45">
        <f>IF(tbl_School_Multi[[#This Row],[Swimming Pool]]="Yes",6,0)</f>
        <v>6</v>
      </c>
      <c r="CA5" s="45">
        <f>IF(tbl_School_Multi[[#This Row],[School Sector]]="Government School",0.909, IF(tbl_School_Multi[[#This Row],[School Sector]]="Independent School", (0.909*1.584), IF(tbl_School_Multi[[#This Row],[School Sector]]="Catholic Systemic School", 0.909)))</f>
        <v>1.439856</v>
      </c>
      <c r="CB5" s="45">
        <f>_xlfn.XLOOKUP(tbl_School_Multi[[#This Row],[State]], tbl_School_Coefficients[State],tbl_School_Coefficients[all sectors])</f>
        <v>1</v>
      </c>
      <c r="CC5" s="45">
        <f>IF(OR(tbl_School_Multi[[#This Row],[School Sector]]="Government School",tbl_School_Multi[[#This Row],[School Sector]]="Catholic Systemic School"),_xlfn.XLOOKUP(tbl_School_Multi[[#This Row],[State]],tbl_School_Coefficients[State], tbl_School_Coefficients[Government Schools and Catholic Systemic Schools]), 1)</f>
        <v>1</v>
      </c>
      <c r="CD5" s="45">
        <f>(tbl_School_Multi[[#This Row],[C_Student Density]]*tbl_School_Multi[[#This Row],[C_Climate]]*tbl_School_Multi[[#This Row],[C_Remote Area]]+tbl_School_Multi[[#This Row],[C_Pool]])*tbl_School_Multi[[#This Row],[C_School Sector]]*tbl_School_Multi[[#This Row],[C_Emissions]]*tbl_School_Multi[[#This Row],[C_Re-centre]]</f>
        <v>44.23344088139357</v>
      </c>
      <c r="CE5" s="45">
        <f>IF(tbl_School_Multi[[#This Row],[School Type]]="ELC Only", 9.293*tbl_School_Multi[[#This Row],[Total Population]], IF(tbl_School_Multi[[#This Row],[School Type]]="Special Education/Needs Only", 4.133*tbl_School_Multi[[#This Row],[Total Population]], 3.094*tbl_School_Multi[[#This Row],[Total Population]]))</f>
        <v>618.79999999999995</v>
      </c>
      <c r="CF5" s="45">
        <f>2.532*(10^-5)*tbl_School_Multi[[#This Row],[Total Site Area]]*tbl_School_Multi[[#This Row],[IRR]]</f>
        <v>346.66241617721477</v>
      </c>
      <c r="CG5" s="45">
        <f>IF(OR(tbl_School_Multi[[#This Row],[School Remote Area]]="Major Cities", tbl_School_Multi[[#This Row],[School Remote Area]]="Inner Regional"), 1, 1.828)</f>
        <v>1</v>
      </c>
      <c r="CH5" s="45">
        <f>10*tbl_School_Multi[[#This Row],[Pool Size]]</f>
        <v>2300</v>
      </c>
      <c r="CI5" s="45">
        <f>IF(tbl_School_Multi[[#This Row],[School Sector]]="Government School",1, IF(tbl_School_Multi[[#This Row],[School Sector]]="Independent School", 2.112, IF(tbl_School_Multi[[#This Row],[School Sector]]="Catholic Systemic School", 1)))</f>
        <v>2.1120000000000001</v>
      </c>
      <c r="CJ5" s="45">
        <f>tbl_School_Multi[[#This Row],[Predicted Emissions per GFA]]*tbl_School_Multi[[#This Row],[Total GFA]]</f>
        <v>221167.20440696785</v>
      </c>
      <c r="CK5" s="36">
        <f>(7-tbl_School_Multi[[#This Row],[Target Energy]])/3.75</f>
        <v>0.8</v>
      </c>
      <c r="CL5" s="36">
        <f>tbl_School_Multi[[#This Row],[Predicted Emissions]]*tbl_School_Multi[[#This Row],[Predicted Emissions Ratio]]/tbl_School_Multi[[#This Row],[Total GFA]]</f>
        <v>35.386752705114858</v>
      </c>
      <c r="CM5" s="44">
        <f>tbl_School_Multi[[#This Row],[Predicted Emissions]]*tbl_School_Multi[[#This Row],[Predicted Emissions Ratio]]</f>
        <v>176933.76352557429</v>
      </c>
      <c r="CN5" s="44">
        <f>tbl_School_Multi[[#This Row],[Target Max CO2]]/tbl_School_Multi[[#This Row],[EffGHGMJ]]</f>
        <v>929110.22434781492</v>
      </c>
      <c r="CO5" s="44">
        <f>tbl_School_Multi[[#This Row],[Target Max Energy (MJ)]]/tbl_School_Multi[[#This Row],[Total GFA]]</f>
        <v>185.82204486956297</v>
      </c>
      <c r="CP5" s="44">
        <f>ROUNDDOWN(tbl_School_Multi[[#This Row],[Target Max Energy (MJ)]]*tbl_School_Multi[[#This Row],[Electricity (%)]]/tbl_School_Multi[[#This Row],[CFelec]],0)</f>
        <v>206468</v>
      </c>
      <c r="CQ5" s="44">
        <f>ROUNDDOWN(tbl_School_Multi[[#This Row],[Target Max Energy (MJ)]]*tbl_School_Multi[[#This Row],[Gas (%)]],0)</f>
        <v>92911</v>
      </c>
      <c r="CR5" s="44">
        <f>ROUNDDOWN(tbl_School_Multi[[#This Row],[Target Max Energy (MJ)]]*tbl_School_Multi[[#This Row],[LPG (%)]]/tbl_School_Multi[[#This Row],[CFlpg]],0)</f>
        <v>1807</v>
      </c>
      <c r="CS5" s="44">
        <f>ROUNDDOWN(tbl_School_Multi[[#This Row],[Target Max Energy (MJ)]]*tbl_School_Multi[[#This Row],[Diesel (%)]]/tbl_School_Multi[[#This Row],[CFdiesel]],0)</f>
        <v>1203</v>
      </c>
      <c r="CT5" s="44">
        <f>SUM(tbl_School_Multi[[#This Row],[Target Max Elec (kWh)]]*tbl_School_Multi[[#This Row],[SGEe Scopes 1,2&amp;3]],
tbl_School_Multi[[#This Row],[Target Max Gas (MJ)]]*tbl_School_Multi[[#This Row],[SGEg Scopes 1,2&amp;3]],
tbl_School_Multi[[#This Row],[Target Max LPG (L)]]*tbl_School_Multi[[#This Row],[SGEl Scopes 1,2&amp;3]],
tbl_School_Multi[[#This Row],[Target Max Diesel (L)]]*tbl_School_Multi[[#This Row],[SGEd Scopes 1,2&amp;3]])</f>
        <v>176930.03435000003</v>
      </c>
      <c r="CU5" s="44">
        <f>SUM(tbl_School_Multi[[#This Row],[Target Max Elec (kWh)]]*tbl_School_Multi[[#This Row],[SGEe Scopes 1&amp;2]],
tbl_School_Multi[[#This Row],[Target Max Gas (MJ)]]*tbl_School_Multi[[#This Row],[SGEg Scopes 1&amp;2]],
tbl_School_Multi[[#This Row],[Target Max LPG (L)]]*tbl_School_Multi[[#This Row],[SGEl Scopes 1&amp;2]],
tbl_School_Multi[[#This Row],[Target Max Diesel (L)]]*tbl_School_Multi[[#This Row],[SGEd Scopes 1&amp;2]])</f>
        <v>161583.39493000001</v>
      </c>
      <c r="CV5" s="44">
        <f>((tbl_School_Multi[[#This Row],[C_Total Population_Water]]+tbl_School_Multi[[#This Row],[C_Site Area/Irrigation_Water]])*tbl_School_Multi[[#This Row],[C_Remote Area_Water]]*tbl_School_Multi[[#This Row],[C_School Sector_Water]])+tbl_School_Multi[[#This Row],[C_Swimming Pool_Water]]</f>
        <v>4339.0566229662772</v>
      </c>
      <c r="CW5" s="36">
        <f>(7-tbl_School_Multi[[#This Row],[Target Water]])/3.75</f>
        <v>1.4666666666666666</v>
      </c>
      <c r="CX5" s="44">
        <f>tbl_School_Multi[[#This Row],[Predicted Water]]*tbl_School_Multi[[#This Row],[Target Max Water Ratio]]</f>
        <v>6363.9497136838727</v>
      </c>
      <c r="CY5" s="296">
        <f>tbl_School_Multi[[#This Row],[Target Max Water (kL)]]/tbl_School_Multi[[#This Row],[Total Site Area]]</f>
        <v>0.34928373840196886</v>
      </c>
      <c r="CZ5" s="36">
        <f>(7-LEFT(tbl_School_Multi[[#Headers],[6.0* Max Benchmarking Factor]],3))/3.75</f>
        <v>0.26666666666666666</v>
      </c>
      <c r="DA5" s="36">
        <f>(7-LEFT(tbl_School_Multi[[#Headers],[5.5* Max Benchmarking Factor]],3))/3.75</f>
        <v>0.4</v>
      </c>
      <c r="DB5" s="36">
        <f>(7-LEFT(tbl_School_Multi[[#Headers],[5.0* Max Benchmarking Factor]],3))/3.75</f>
        <v>0.53333333333333333</v>
      </c>
      <c r="DC5" s="36">
        <f>(7-LEFT(tbl_School_Multi[[#Headers],[4.5* Max Benchmarking Factor]],3))/3.75</f>
        <v>0.66666666666666663</v>
      </c>
      <c r="DD5" s="36">
        <f>(7-LEFT(tbl_School_Multi[[#Headers],[4.0* Max Benchmarking Factor]],3))/3.75</f>
        <v>0.8</v>
      </c>
      <c r="DE5" s="36">
        <f>(7-LEFT(tbl_School_Multi[[#Headers],[3.5* Max Benchmarking Factor]],3))/3.75</f>
        <v>0.93333333333333335</v>
      </c>
      <c r="DF5" s="36">
        <f>(7-LEFT(tbl_School_Multi[[#Headers],[3.0* Max Benchmarking Factor]],3))/3.75</f>
        <v>1.0666666666666667</v>
      </c>
      <c r="DG5" s="36">
        <f>(7-LEFT(tbl_School_Multi[[#Headers],[2.5* Max Benchmarking Factor]],3))/3.75</f>
        <v>1.2</v>
      </c>
      <c r="DH5" s="36">
        <f>(7-LEFT(tbl_School_Multi[[#Headers],[2.0* Max Benchmarking Factor]],3))/3.75</f>
        <v>1.3333333333333333</v>
      </c>
      <c r="DI5" s="36">
        <f>(7-LEFT(tbl_School_Multi[[#Headers],[1.5* Max Benchmarking Factor]],3))/3.75</f>
        <v>1.4666666666666666</v>
      </c>
      <c r="DJ5" s="36">
        <f>(7-LEFT(tbl_School_Multi[[#Headers],[1.0* Max Benchmarking Factor]],3))/3.75</f>
        <v>1.6</v>
      </c>
      <c r="DK5" s="36">
        <f>(7-LEFT(tbl_School_Multi[[#Headers],[0.0* Max Benchmarking Factor]],3))/3.75</f>
        <v>1.8666666666666667</v>
      </c>
      <c r="DL5" s="44">
        <f>tbl_School_Multi[[Predicted Emissions]:[Predicted Emissions]]*tbl_School_Multi[[#This Row],[6.0* Max Benchmarking Factor]]</f>
        <v>58977.921175191426</v>
      </c>
      <c r="DM5" s="44">
        <f>tbl_School_Multi[[Predicted Emissions]:[Predicted Emissions]]*tbl_School_Multi[[#This Row],[5.5* Max Benchmarking Factor]]</f>
        <v>88466.881762787147</v>
      </c>
      <c r="DN5" s="44">
        <f>tbl_School_Multi[[Predicted Emissions]:[Predicted Emissions]]*tbl_School_Multi[[#This Row],[5.0* Max Benchmarking Factor]]</f>
        <v>117955.84235038285</v>
      </c>
      <c r="DO5" s="44">
        <f>tbl_School_Multi[[Predicted Emissions]:[Predicted Emissions]]*tbl_School_Multi[[#This Row],[4.5* Max Benchmarking Factor]]</f>
        <v>147444.80293797856</v>
      </c>
      <c r="DP5" s="44">
        <f>tbl_School_Multi[[Predicted Emissions]:[Predicted Emissions]]*tbl_School_Multi[[#This Row],[4.0* Max Benchmarking Factor]]</f>
        <v>176933.76352557429</v>
      </c>
      <c r="DQ5" s="44">
        <f>tbl_School_Multi[[Predicted Emissions]:[Predicted Emissions]]*tbl_School_Multi[[#This Row],[3.5* Max Benchmarking Factor]]</f>
        <v>206422.72411317</v>
      </c>
      <c r="DR5" s="44">
        <f>tbl_School_Multi[[Predicted Emissions]:[Predicted Emissions]]*tbl_School_Multi[[#This Row],[3.0* Max Benchmarking Factor]]</f>
        <v>235911.68470076571</v>
      </c>
      <c r="DS5" s="44">
        <f>tbl_School_Multi[[Predicted Emissions]:[Predicted Emissions]]*tbl_School_Multi[[#This Row],[2.5* Max Benchmarking Factor]]</f>
        <v>265400.64528836141</v>
      </c>
      <c r="DT5" s="44">
        <f>tbl_School_Multi[[Predicted Emissions]:[Predicted Emissions]]*tbl_School_Multi[[#This Row],[2.0* Max Benchmarking Factor]]</f>
        <v>294889.60587595712</v>
      </c>
      <c r="DU5" s="44">
        <f>tbl_School_Multi[[Predicted Emissions]:[Predicted Emissions]]*tbl_School_Multi[[#This Row],[1.5* Max Benchmarking Factor]]</f>
        <v>324378.56646355282</v>
      </c>
      <c r="DV5" s="44">
        <f>tbl_School_Multi[[Predicted Emissions]:[Predicted Emissions]]*tbl_School_Multi[[#This Row],[1.0* Max Benchmarking Factor]]</f>
        <v>353867.52705114859</v>
      </c>
      <c r="DW5" s="44">
        <f>tbl_School_Multi[[Predicted Emissions]:[Predicted Emissions]]*tbl_School_Multi[[#This Row],[0.0* Max Benchmarking Factor]]</f>
        <v>412845.44822634</v>
      </c>
      <c r="DX5" s="44">
        <f>tbl_School_Multi[[#This Row],[6.0* Max CO2]]/tbl_School_Multi[[EffGHGMJ]:[EffGHGMJ]]</f>
        <v>309703.40811593831</v>
      </c>
      <c r="DY5" s="44">
        <f>tbl_School_Multi[[#This Row],[5.5* Max CO2]]/tbl_School_Multi[[EffGHGMJ]:[EffGHGMJ]]</f>
        <v>464555.11217390746</v>
      </c>
      <c r="DZ5" s="44">
        <f>tbl_School_Multi[[#This Row],[5.0* Max CO2]]/tbl_School_Multi[[EffGHGMJ]:[EffGHGMJ]]</f>
        <v>619406.81623187661</v>
      </c>
      <c r="EA5" s="44">
        <f>tbl_School_Multi[[#This Row],[4.5* Max CO2]]/tbl_School_Multi[[EffGHGMJ]:[EffGHGMJ]]</f>
        <v>774258.52028984565</v>
      </c>
      <c r="EB5" s="44">
        <f>tbl_School_Multi[[#This Row],[4.0* Max CO2]]/tbl_School_Multi[[EffGHGMJ]:[EffGHGMJ]]</f>
        <v>929110.22434781492</v>
      </c>
      <c r="EC5" s="44">
        <f>tbl_School_Multi[[#This Row],[3.5* Max CO2]]/tbl_School_Multi[[EffGHGMJ]:[EffGHGMJ]]</f>
        <v>1083961.9284057841</v>
      </c>
      <c r="ED5" s="44">
        <f>tbl_School_Multi[[#This Row],[3.0* Max CO2]]/tbl_School_Multi[[EffGHGMJ]:[EffGHGMJ]]</f>
        <v>1238813.6324637532</v>
      </c>
      <c r="EE5" s="44">
        <f>tbl_School_Multi[[#This Row],[2.5* Max CO2]]/tbl_School_Multi[[EffGHGMJ]:[EffGHGMJ]]</f>
        <v>1393665.3365217221</v>
      </c>
      <c r="EF5" s="44">
        <f>tbl_School_Multi[[#This Row],[2.0* Max CO2]]/tbl_School_Multi[[EffGHGMJ]:[EffGHGMJ]]</f>
        <v>1548517.0405796913</v>
      </c>
      <c r="EG5" s="44">
        <f>tbl_School_Multi[[#This Row],[1.5* Max CO2]]/tbl_School_Multi[[EffGHGMJ]:[EffGHGMJ]]</f>
        <v>1703368.7446376604</v>
      </c>
      <c r="EH5" s="44">
        <f>tbl_School_Multi[[#This Row],[1.0* Max CO2]]/tbl_School_Multi[[EffGHGMJ]:[EffGHGMJ]]</f>
        <v>1858220.4486956298</v>
      </c>
      <c r="EI5" s="44">
        <f>tbl_School_Multi[[#This Row],[0.0* Max CO2]]/tbl_School_Multi[[EffGHGMJ]:[EffGHGMJ]]</f>
        <v>2167923.8568115681</v>
      </c>
      <c r="EJ5" s="44">
        <f>ROUNDDOWN(tbl_School_Multi[[#This Row],[6.0* Max Energy (MJ)]]*tbl_School_Multi[[Electricity (%)]:[Electricity (%)]]/tbl_School_Multi[[CFelec]:[CFelec]],0)</f>
        <v>68822</v>
      </c>
      <c r="EK5" s="44">
        <f>ROUNDDOWN(tbl_School_Multi[[#This Row],[5.5* Max Energy (MJ)]]*tbl_School_Multi[[Electricity (%)]:[Electricity (%)]]/tbl_School_Multi[[CFelec]:[CFelec]],0)</f>
        <v>103234</v>
      </c>
      <c r="EL5" s="44">
        <f>ROUNDDOWN(tbl_School_Multi[[#This Row],[5.0* Max Energy (MJ)]]*tbl_School_Multi[[Electricity (%)]:[Electricity (%)]]/tbl_School_Multi[[CFelec]:[CFelec]],0)</f>
        <v>137645</v>
      </c>
      <c r="EM5" s="44">
        <f>ROUNDDOWN(tbl_School_Multi[[#This Row],[4.5* Max Energy (MJ)]]*tbl_School_Multi[[Electricity (%)]:[Electricity (%)]]/tbl_School_Multi[[CFelec]:[CFelec]],0)</f>
        <v>172057</v>
      </c>
      <c r="EN5" s="44">
        <f>ROUNDDOWN(tbl_School_Multi[[#This Row],[4.0* Max Energy (MJ)]]*tbl_School_Multi[[Electricity (%)]:[Electricity (%)]]/tbl_School_Multi[[CFelec]:[CFelec]],0)</f>
        <v>206468</v>
      </c>
      <c r="EO5" s="44">
        <f>ROUNDDOWN(tbl_School_Multi[[#This Row],[3.5* Max Energy (MJ)]]*tbl_School_Multi[[Electricity (%)]:[Electricity (%)]]/tbl_School_Multi[[CFelec]:[CFelec]],0)</f>
        <v>240880</v>
      </c>
      <c r="EP5" s="44">
        <f>ROUNDDOWN(tbl_School_Multi[[#This Row],[3.0* Max Energy (MJ)]]*tbl_School_Multi[[Electricity (%)]:[Electricity (%)]]/tbl_School_Multi[[CFelec]:[CFelec]],0)</f>
        <v>275291</v>
      </c>
      <c r="EQ5" s="44">
        <f>ROUNDDOWN(tbl_School_Multi[[#This Row],[2.5* Max Energy (MJ)]]*tbl_School_Multi[[Electricity (%)]:[Electricity (%)]]/tbl_School_Multi[[CFelec]:[CFelec]],0)</f>
        <v>309703</v>
      </c>
      <c r="ER5" s="44">
        <f>ROUNDDOWN(tbl_School_Multi[[#This Row],[2.0* Max Energy (MJ)]]*tbl_School_Multi[[Electricity (%)]:[Electricity (%)]]/tbl_School_Multi[[CFelec]:[CFelec]],0)</f>
        <v>344114</v>
      </c>
      <c r="ES5" s="44">
        <f>ROUNDDOWN(tbl_School_Multi[[#This Row],[1.5* Max Energy (MJ)]]*tbl_School_Multi[[Electricity (%)]:[Electricity (%)]]/tbl_School_Multi[[CFelec]:[CFelec]],0)</f>
        <v>378526</v>
      </c>
      <c r="ET5" s="44">
        <f>ROUNDDOWN(tbl_School_Multi[[#This Row],[1.0* Max Energy (MJ)]]*tbl_School_Multi[[Electricity (%)]:[Electricity (%)]]/tbl_School_Multi[[CFelec]:[CFelec]],0)</f>
        <v>412937</v>
      </c>
      <c r="EU5" s="44">
        <f>ROUNDDOWN(tbl_School_Multi[[#This Row],[0.0* Max Energy (MJ)]]*tbl_School_Multi[[Electricity (%)]:[Electricity (%)]]/tbl_School_Multi[[CFelec]:[CFelec]],0)</f>
        <v>481760</v>
      </c>
      <c r="EV5" s="44">
        <f>ROUNDDOWN(tbl_School_Multi[[#This Row],[6.0* Max Energy (MJ)]]*tbl_School_Multi[[Gas (%)]:[Gas (%)]],0)</f>
        <v>30970</v>
      </c>
      <c r="EW5" s="44">
        <f>ROUNDDOWN(tbl_School_Multi[[#This Row],[5.5* Max Energy (MJ)]]*tbl_School_Multi[[Gas (%)]:[Gas (%)]],0)</f>
        <v>46455</v>
      </c>
      <c r="EX5" s="44">
        <f>ROUNDDOWN(tbl_School_Multi[[#This Row],[5.0* Max Energy (MJ)]]*tbl_School_Multi[[Gas (%)]:[Gas (%)]],0)</f>
        <v>61940</v>
      </c>
      <c r="EY5" s="44">
        <f>ROUNDDOWN(tbl_School_Multi[[#This Row],[4.5* Max Energy (MJ)]]*tbl_School_Multi[[Gas (%)]:[Gas (%)]],0)</f>
        <v>77425</v>
      </c>
      <c r="EZ5" s="44">
        <f>ROUNDDOWN(tbl_School_Multi[[#This Row],[4.0* Max Energy (MJ)]]*tbl_School_Multi[[Gas (%)]:[Gas (%)]],0)</f>
        <v>92911</v>
      </c>
      <c r="FA5" s="44">
        <f>ROUNDDOWN(tbl_School_Multi[[#This Row],[3.5* Max Energy (MJ)]]*tbl_School_Multi[[Gas (%)]:[Gas (%)]],0)</f>
        <v>108396</v>
      </c>
      <c r="FB5" s="44">
        <f>ROUNDDOWN(tbl_School_Multi[[#This Row],[3.0* Max Energy (MJ)]]*tbl_School_Multi[[Gas (%)]:[Gas (%)]],0)</f>
        <v>123881</v>
      </c>
      <c r="FC5" s="44">
        <f>ROUNDDOWN(tbl_School_Multi[[#This Row],[2.5* Max Energy (MJ)]]*tbl_School_Multi[[Gas (%)]:[Gas (%)]],0)</f>
        <v>139366</v>
      </c>
      <c r="FD5" s="44">
        <f>ROUNDDOWN(tbl_School_Multi[[#This Row],[2.0* Max Energy (MJ)]]*tbl_School_Multi[[Gas (%)]:[Gas (%)]],0)</f>
        <v>154851</v>
      </c>
      <c r="FE5" s="44">
        <f>ROUNDDOWN(tbl_School_Multi[[#This Row],[1.5* Max Energy (MJ)]]*tbl_School_Multi[[Gas (%)]:[Gas (%)]],0)</f>
        <v>170336</v>
      </c>
      <c r="FF5" s="44">
        <f>ROUNDDOWN(tbl_School_Multi[[#This Row],[1.0* Max Energy (MJ)]]*tbl_School_Multi[[Gas (%)]:[Gas (%)]],0)</f>
        <v>185822</v>
      </c>
      <c r="FG5" s="44">
        <f>ROUNDDOWN(tbl_School_Multi[[#This Row],[0.0* Max Energy (MJ)]]*tbl_School_Multi[[Gas (%)]:[Gas (%)]],0)</f>
        <v>216792</v>
      </c>
      <c r="FH5" s="44">
        <f>ROUNDDOWN(tbl_School_Multi[[#This Row],[6.0* Max Energy (MJ)]]*tbl_School_Multi[[LPG (%)]:[LPG (%)]]/tbl_School_Multi[[CFlpg]:[CFlpg]],0)</f>
        <v>602</v>
      </c>
      <c r="FI5" s="44">
        <f>ROUNDDOWN(tbl_School_Multi[[#This Row],[5.5* Max Energy (MJ)]]*tbl_School_Multi[[LPG (%)]:[LPG (%)]]/tbl_School_Multi[[CFlpg]:[CFlpg]],0)</f>
        <v>903</v>
      </c>
      <c r="FJ5" s="44">
        <f>ROUNDDOWN(tbl_School_Multi[[#This Row],[5.0* Max Energy (MJ)]]*tbl_School_Multi[[LPG (%)]:[LPG (%)]]/tbl_School_Multi[[CFlpg]:[CFlpg]],0)</f>
        <v>1205</v>
      </c>
      <c r="FK5" s="44">
        <f>ROUNDDOWN(tbl_School_Multi[[#This Row],[4.5* Max Energy (MJ)]]*tbl_School_Multi[[LPG (%)]:[LPG (%)]]/tbl_School_Multi[[CFlpg]:[CFlpg]],0)</f>
        <v>1506</v>
      </c>
      <c r="FL5" s="44">
        <f>ROUNDDOWN(tbl_School_Multi[[#This Row],[4.0* Max Energy (MJ)]]*tbl_School_Multi[[LPG (%)]:[LPG (%)]]/tbl_School_Multi[[CFlpg]:[CFlpg]],0)</f>
        <v>1807</v>
      </c>
      <c r="FM5" s="44">
        <f>ROUNDDOWN(tbl_School_Multi[[#This Row],[3.5* Max Energy (MJ)]]*tbl_School_Multi[[LPG (%)]:[LPG (%)]]/tbl_School_Multi[[CFlpg]:[CFlpg]],0)</f>
        <v>2108</v>
      </c>
      <c r="FN5" s="44">
        <f>ROUNDDOWN(tbl_School_Multi[[#This Row],[3.0* Max Energy (MJ)]]*tbl_School_Multi[[LPG (%)]:[LPG (%)]]/tbl_School_Multi[[CFlpg]:[CFlpg]],0)</f>
        <v>2410</v>
      </c>
      <c r="FO5" s="44">
        <f>ROUNDDOWN(tbl_School_Multi[[#This Row],[2.5* Max Energy (MJ)]]*tbl_School_Multi[[LPG (%)]:[LPG (%)]]/tbl_School_Multi[[CFlpg]:[CFlpg]],0)</f>
        <v>2711</v>
      </c>
      <c r="FP5" s="44">
        <f>ROUNDDOWN(tbl_School_Multi[[#This Row],[2.0* Max Energy (MJ)]]*tbl_School_Multi[[LPG (%)]:[LPG (%)]]/tbl_School_Multi[[CFlpg]:[CFlpg]],0)</f>
        <v>3012</v>
      </c>
      <c r="FQ5" s="44">
        <f>ROUNDDOWN(tbl_School_Multi[[#This Row],[1.5* Max Energy (MJ)]]*tbl_School_Multi[[LPG (%)]:[LPG (%)]]/tbl_School_Multi[[CFlpg]:[CFlpg]],0)</f>
        <v>3313</v>
      </c>
      <c r="FR5" s="44">
        <f>ROUNDDOWN(tbl_School_Multi[[#This Row],[1.0* Max Energy (MJ)]]*tbl_School_Multi[[LPG (%)]:[LPG (%)]]/tbl_School_Multi[[CFlpg]:[CFlpg]],0)</f>
        <v>3615</v>
      </c>
      <c r="FS5" s="44">
        <f>ROUNDDOWN(tbl_School_Multi[[#This Row],[0.0* Max Energy (MJ)]]*tbl_School_Multi[[LPG (%)]:[LPG (%)]]/tbl_School_Multi[[CFlpg]:[CFlpg]],0)</f>
        <v>4217</v>
      </c>
      <c r="FT5" s="44">
        <f>ROUNDDOWN(tbl_School_Multi[[#This Row],[6.0* Max Energy (MJ)]]*tbl_School_Multi[[Diesel (%)]:[Diesel (%)]]/tbl_School_Multi[[CFdiesel]:[CFdiesel]],0)</f>
        <v>401</v>
      </c>
      <c r="FU5" s="44">
        <f>ROUNDDOWN(tbl_School_Multi[[#This Row],[5.5* Max Energy (MJ)]]*tbl_School_Multi[[Diesel (%)]:[Diesel (%)]]/tbl_School_Multi[[CFdiesel]:[CFdiesel]],0)</f>
        <v>601</v>
      </c>
      <c r="FV5" s="44">
        <f>ROUNDDOWN(tbl_School_Multi[[#This Row],[5.0* Max Energy (MJ)]]*tbl_School_Multi[[Diesel (%)]:[Diesel (%)]]/tbl_School_Multi[[CFdiesel]:[CFdiesel]],0)</f>
        <v>802</v>
      </c>
      <c r="FW5" s="44">
        <f>ROUNDDOWN(tbl_School_Multi[[#This Row],[4.5* Max Energy (MJ)]]*tbl_School_Multi[[Diesel (%)]:[Diesel (%)]]/tbl_School_Multi[[CFdiesel]:[CFdiesel]],0)</f>
        <v>1002</v>
      </c>
      <c r="FX5" s="44">
        <f>ROUNDDOWN(tbl_School_Multi[[#This Row],[4.0* Max Energy (MJ)]]*tbl_School_Multi[[Diesel (%)]:[Diesel (%)]]/tbl_School_Multi[[CFdiesel]:[CFdiesel]],0)</f>
        <v>1203</v>
      </c>
      <c r="FY5" s="44">
        <f>ROUNDDOWN(tbl_School_Multi[[#This Row],[3.5* Max Energy (MJ)]]*tbl_School_Multi[[Diesel (%)]:[Diesel (%)]]/tbl_School_Multi[[CFdiesel]:[CFdiesel]],0)</f>
        <v>1404</v>
      </c>
      <c r="FZ5" s="44">
        <f>ROUNDDOWN(tbl_School_Multi[[#This Row],[3.0* Max Energy (MJ)]]*tbl_School_Multi[[Diesel (%)]:[Diesel (%)]]/tbl_School_Multi[[CFdiesel]:[CFdiesel]],0)</f>
        <v>1604</v>
      </c>
      <c r="GA5" s="44">
        <f>ROUNDDOWN(tbl_School_Multi[[#This Row],[2.5* Max Energy (MJ)]]*tbl_School_Multi[[Diesel (%)]:[Diesel (%)]]/tbl_School_Multi[[CFdiesel]:[CFdiesel]],0)</f>
        <v>1805</v>
      </c>
      <c r="GB5" s="44">
        <f>ROUNDDOWN(tbl_School_Multi[[#This Row],[2.0* Max Energy (MJ)]]*tbl_School_Multi[[Diesel (%)]:[Diesel (%)]]/tbl_School_Multi[[CFdiesel]:[CFdiesel]],0)</f>
        <v>2005</v>
      </c>
      <c r="GC5" s="44">
        <f>ROUNDDOWN(tbl_School_Multi[[#This Row],[1.5* Max Energy (MJ)]]*tbl_School_Multi[[Diesel (%)]:[Diesel (%)]]/tbl_School_Multi[[CFdiesel]:[CFdiesel]],0)</f>
        <v>2206</v>
      </c>
      <c r="GD5" s="44">
        <f>ROUNDDOWN(tbl_School_Multi[[#This Row],[1.0* Max Energy (MJ)]]*tbl_School_Multi[[Diesel (%)]:[Diesel (%)]]/tbl_School_Multi[[CFdiesel]:[CFdiesel]],0)</f>
        <v>2407</v>
      </c>
      <c r="GE5" s="44">
        <f>ROUNDDOWN(tbl_School_Multi[[#This Row],[0.0* Max Energy (MJ)]]*tbl_School_Multi[[Diesel (%)]:[Diesel (%)]]/tbl_School_Multi[[CFdiesel]:[CFdiesel]],0)</f>
        <v>2808</v>
      </c>
      <c r="GF5" s="44">
        <f>tbl_School_Multi[[Predicted Water]:[Predicted Water]]*tbl_School_Multi[[#This Row],[6.0* Max Benchmarking Factor]]</f>
        <v>1157.0817661243407</v>
      </c>
      <c r="GG5" s="44">
        <f>tbl_School_Multi[[Predicted Water]:[Predicted Water]]*tbl_School_Multi[[#This Row],[5.5* Max Benchmarking Factor]]</f>
        <v>1735.6226491865109</v>
      </c>
      <c r="GH5" s="44">
        <f>tbl_School_Multi[[Predicted Water]:[Predicted Water]]*tbl_School_Multi[[#This Row],[5.0* Max Benchmarking Factor]]</f>
        <v>2314.1635322486813</v>
      </c>
      <c r="GI5" s="44">
        <f>tbl_School_Multi[[Predicted Water]:[Predicted Water]]*tbl_School_Multi[[#This Row],[4.5* Max Benchmarking Factor]]</f>
        <v>2892.7044153108513</v>
      </c>
      <c r="GJ5" s="44">
        <f>tbl_School_Multi[[Predicted Water]:[Predicted Water]]*tbl_School_Multi[[#This Row],[4.0* Max Benchmarking Factor]]</f>
        <v>3471.2452983730218</v>
      </c>
      <c r="GK5" s="44">
        <f>tbl_School_Multi[[Predicted Water]:[Predicted Water]]*tbl_School_Multi[[#This Row],[3.5* Max Benchmarking Factor]]</f>
        <v>4049.7861814351922</v>
      </c>
      <c r="GL5" s="44">
        <f>tbl_School_Multi[[Predicted Water]:[Predicted Water]]*tbl_School_Multi[[#This Row],[3.0* Max Benchmarking Factor]]</f>
        <v>4628.3270644973627</v>
      </c>
      <c r="GM5" s="44">
        <f>tbl_School_Multi[[Predicted Water]:[Predicted Water]]*tbl_School_Multi[[#This Row],[2.5* Max Benchmarking Factor]]</f>
        <v>5206.8679475595327</v>
      </c>
      <c r="GN5" s="44">
        <f>tbl_School_Multi[[Predicted Water]:[Predicted Water]]*tbl_School_Multi[[#This Row],[2.0* Max Benchmarking Factor]]</f>
        <v>5785.4088306217027</v>
      </c>
      <c r="GO5" s="44">
        <f>tbl_School_Multi[[Predicted Water]:[Predicted Water]]*tbl_School_Multi[[#This Row],[1.5* Max Benchmarking Factor]]</f>
        <v>6363.9497136838727</v>
      </c>
      <c r="GP5" s="44">
        <f>tbl_School_Multi[[Predicted Water]:[Predicted Water]]*tbl_School_Multi[[#This Row],[1.0* Max Benchmarking Factor]]</f>
        <v>6942.4905967460436</v>
      </c>
      <c r="GQ5" s="44">
        <f>tbl_School_Multi[[Predicted Water]:[Predicted Water]]*tbl_School_Multi[[#This Row],[0.0* Max Benchmarking Factor]]</f>
        <v>8099.5723628703845</v>
      </c>
      <c r="GR5" s="44">
        <f>SUM(tbl_School_Multi[[#This Row],[Electricity]]*(1-tbl_School_Multi[[#This Row],[GP]])*tbl_School_Multi[[#This Row],[SGEe Scopes 1,2&amp;3]],
tbl_School_Multi[[#This Row],[Gas]]*tbl_School_Multi[[#This Row],[SGEg Scopes 1,2&amp;3]],
tbl_School_Multi[[#This Row],[LPG]]*tbl_School_Multi[[#This Row],[SGEl Scopes 1,2&amp;3]],
tbl_School_Multi[[#This Row],[Diesel]]*tbl_School_Multi[[#This Row],[SGEd Scopes 1,2&amp;3]])</f>
        <v>0</v>
      </c>
      <c r="GS5" s="44">
        <f>SUM(tbl_School_Multi[[#This Row],[Electricity]]*(1-tbl_School_Multi[[#This Row],[GP]])*tbl_School_Multi[[#This Row],[SGEe Scopes 1&amp;2]],
tbl_School_Multi[[#This Row],[Gas]]*tbl_School_Multi[[#This Row],[SGEg Scopes 1&amp;2]],
tbl_School_Multi[[#This Row],[LPG]]*tbl_School_Multi[[#This Row],[SGEl Scopes 1&amp;2]],
tbl_School_Multi[[#This Row],[Diesel]]*tbl_School_Multi[[#This Row],[SGEd Scopes 1&amp;2]])</f>
        <v>0</v>
      </c>
      <c r="GT5" s="45">
        <f>SUM(tbl_School_Multi[[#This Row],[Electricity]]*(1-tbl_School_Multi[[#This Row],[GP]])*tbl_School_Multi[[#This Row],[SGEe]],
tbl_School_Multi[[#This Row],[Gas]]*tbl_School_Multi[[#This Row],[SGEg]],
tbl_School_Multi[[#This Row],[LPG]]*tbl_School_Multi[[#This Row],[SGEl]]*tbl_School_Multi[[#This Row],[CFlpg]],
tbl_School_Multi[[#This Row],[Diesel]]*tbl_School_Multi[[#This Row],[SGEd]])</f>
        <v>0</v>
      </c>
      <c r="GU5" s="45">
        <f>SUM(tbl_School_Multi[[#This Row],[Electricity]]*tbl_School_Multi[[#This Row],[SGEe]],
tbl_School_Multi[[#This Row],[Gas]]*tbl_School_Multi[[#This Row],[SGEg]],
tbl_School_Multi[[#This Row],[LPG]]*tbl_School_Multi[[#This Row],[SGEl]]*tbl_School_Multi[[#This Row],[CFlpg]],
tbl_School_Multi[[#This Row],[Diesel]]*tbl_School_Multi[[#This Row],[SGEd]])</f>
        <v>0</v>
      </c>
      <c r="GV5" s="45">
        <f>tbl_School_Multi[[#This Row],[Actual Emissions with GP]]/tbl_School_Multi[[#This Row],[Predicted Emissions]]</f>
        <v>0</v>
      </c>
      <c r="GW5" s="45">
        <f>tbl_School_Multi[[#This Row],[Actual Emissions w/o GP]]/tbl_School_Multi[[#This Row],[Predicted Emissions]]</f>
        <v>0</v>
      </c>
      <c r="GX5" s="45">
        <f>7-3.75*tbl_School_Multi[[#This Row],[Actual/Predicted Emissions with GP]]</f>
        <v>7</v>
      </c>
      <c r="GY5" s="45">
        <f>7-3.75*tbl_School_Multi[[#This Row],[Actual/Predicted Emissions w/o GP]]</f>
        <v>7</v>
      </c>
      <c r="GZ5" s="45">
        <f>MAX(MIN(ROUNDDOWN(tbl_School_Multi[[#This Row],[Energy Star Decimal with GP]]*2,0)/2,6),0)</f>
        <v>6</v>
      </c>
      <c r="HA5" s="45">
        <f>MAX(MIN(ROUNDDOWN(tbl_School_Multi[[#This Row],[Energy Star Decimal w/o GP]]*2,0)/2,6),0)</f>
        <v>6</v>
      </c>
      <c r="HB5" s="828">
        <f>tbl_School_Multi[[#This Row],[Water]]*(1-tbl_School_Multi[[#This Row],[RW]])</f>
        <v>0</v>
      </c>
      <c r="HC5" s="828">
        <f>tbl_School_Multi[[#This Row],[Water]]</f>
        <v>0</v>
      </c>
      <c r="HD5" s="822">
        <f>tbl_School_Multi[[#This Row],[Actual Water with RW]]/tbl_School_Multi[[#This Row],[Predicted Water]]</f>
        <v>0</v>
      </c>
      <c r="HE5" s="822">
        <f>tbl_School_Multi[[#This Row],[Actual Water w/o RW]]/tbl_School_Multi[[#This Row],[Predicted Water]]</f>
        <v>0</v>
      </c>
      <c r="HF5" s="822">
        <f>7-3.75*tbl_School_Multi[[#This Row],[Actual/Predicted Water with RW]]</f>
        <v>7</v>
      </c>
      <c r="HG5" s="822">
        <f>7-3.75*tbl_School_Multi[[#This Row],[Actual/Predicted Water w/o RW]]</f>
        <v>7</v>
      </c>
      <c r="HH5" s="822">
        <f>MAX(MIN(ROUNDDOWN(tbl_School_Multi[[#This Row],[Water Star Decimal with RW]]*2,0)/2,6),0)</f>
        <v>6</v>
      </c>
      <c r="HI5" s="822">
        <f>MAX(MIN(ROUNDDOWN(tbl_School_Multi[[#This Row],[Water Star Decimal w/o RW]]*2,0)/2,6),0)</f>
        <v>6</v>
      </c>
    </row>
    <row r="6" spans="1:217" ht="16.5" customHeight="1">
      <c r="A6" s="484">
        <v>3</v>
      </c>
      <c r="B6" s="484">
        <v>3</v>
      </c>
      <c r="C6" s="485">
        <v>7000</v>
      </c>
      <c r="D6" s="485" t="s">
        <v>1005</v>
      </c>
      <c r="E6" s="485" t="s">
        <v>1006</v>
      </c>
      <c r="F6" s="488">
        <v>5000</v>
      </c>
      <c r="G6" s="488">
        <v>1000</v>
      </c>
      <c r="H6" s="488">
        <v>50</v>
      </c>
      <c r="I6" s="488">
        <v>2</v>
      </c>
      <c r="J6" s="488">
        <v>15</v>
      </c>
      <c r="K6" s="488">
        <v>20</v>
      </c>
      <c r="L6" s="488">
        <v>10</v>
      </c>
      <c r="M6" s="486" t="s">
        <v>654</v>
      </c>
      <c r="N6" s="486">
        <v>0</v>
      </c>
      <c r="O6" s="487">
        <v>0.5</v>
      </c>
      <c r="P6" s="487">
        <v>0.3</v>
      </c>
      <c r="Q6" s="487">
        <v>0.1</v>
      </c>
      <c r="R6" s="487">
        <v>0.1</v>
      </c>
      <c r="S6" s="126">
        <f>tbl_School_Multi[[#This Row],[Predicted Emissions Ratio]]</f>
        <v>1.0666666666666667</v>
      </c>
      <c r="T6" s="42">
        <f>tbl_School_Multi[[#This Row],[Predicted Emissions]]</f>
        <v>10166.213482663275</v>
      </c>
      <c r="U6" s="42">
        <f>tbl_School_Multi[[#This Row],[Target Max CO2]]</f>
        <v>10843.96104817416</v>
      </c>
      <c r="V6" s="42">
        <f>tbl_School_Multi[[#This Row],[Target Max GE]]</f>
        <v>10.84396104817416</v>
      </c>
      <c r="W6" s="378">
        <f>tbl_School_Multi[[#This Row],[Target Max Energy Intensity]]</f>
        <v>189.28522138934454</v>
      </c>
      <c r="X6" s="42">
        <f>tbl_School_Multi[[#This Row],[Target Scopes 1,2&amp;3]]</f>
        <v>10841.47421</v>
      </c>
      <c r="Y6" s="42">
        <f>tbl_School_Multi[[#This Row],[Target Scopes 1&amp;2]]</f>
        <v>9869.2849700000006</v>
      </c>
      <c r="Z6" s="42">
        <f>tbl_School_Multi[[#This Row],[Target Max Elec (kWh)]]</f>
        <v>26289</v>
      </c>
      <c r="AA6" s="42">
        <f>tbl_School_Multi[[#This Row],[Target Max Gas (MJ)]]</f>
        <v>56785</v>
      </c>
      <c r="AB6" s="42">
        <f>tbl_School_Multi[[#This Row],[Target Max LPG (L)]]</f>
        <v>736</v>
      </c>
      <c r="AC6" s="42">
        <f>tbl_School_Multi[[#This Row],[Target Max Diesel (L)]]</f>
        <v>490</v>
      </c>
      <c r="AD6" s="839">
        <f>tbl_School_Multi[[#This Row],[Target Max Water Ratio]]</f>
        <v>1.0666666666666667</v>
      </c>
      <c r="AE6" s="42">
        <f>tbl_School_Multi[[#This Row],[Predicted Water]]</f>
        <v>631.91241404157461</v>
      </c>
      <c r="AF6" s="42">
        <f>tbl_School_Multi[[#This Row],[Target Max Water (kL)]]</f>
        <v>674.03990831101294</v>
      </c>
      <c r="AG6" s="839">
        <f>tbl_School_Multi[[#This Row],[Target Max Water Intensity]]</f>
        <v>0.13480798166220259</v>
      </c>
      <c r="AH6" s="285">
        <f>School_Elec_FWD</f>
        <v>0</v>
      </c>
      <c r="AI6" s="285">
        <f>School_GreenPower_Percent_FWD</f>
        <v>0</v>
      </c>
      <c r="AJ6" s="285">
        <f>School_Gas_FWD</f>
        <v>0</v>
      </c>
      <c r="AK6" s="285">
        <f>School_LPG_FWD</f>
        <v>0</v>
      </c>
      <c r="AL6" s="285">
        <f>School_Diesel_FWD</f>
        <v>0</v>
      </c>
      <c r="AM6" s="776">
        <f>School_Water_FWD</f>
        <v>0</v>
      </c>
      <c r="AN6" s="776">
        <f>School_RW_Percent_FWD</f>
        <v>0</v>
      </c>
      <c r="AO6" s="45" t="str">
        <f>_xlfn.XLOOKUP(tbl_School_Multi[[#This Row],[Postcode]],tbl_Climate_Lookup[Postcode],tbl_Climate_Lookup[State])</f>
        <v>TAS</v>
      </c>
      <c r="AP6" s="45">
        <f>_xlfn.XLOOKUP(tbl_School_Multi[[#This Row],[Postcode]],tbl_Climate_Lookup[Postcode],tbl_Climate_Lookup[Climate zone])</f>
        <v>26</v>
      </c>
      <c r="AQ6" s="45">
        <f>_xlfn.XLOOKUP(tbl_School_Multi[[#This Row],[Postcode]],tbl_Climate_Lookup[Postcode],tbl_Climate_Lookup[HDD])</f>
        <v>2049</v>
      </c>
      <c r="AR6" s="45">
        <f>_xlfn.XLOOKUP(tbl_School_Multi[[#This Row],[Postcode]],tbl_Climate_Lookup[Postcode],tbl_Climate_Lookup[CDD])</f>
        <v>29</v>
      </c>
      <c r="AS6" s="45">
        <f>_xlfn.XLOOKUP(tbl_School_Multi[[#This Row],[Postcode]],tbl_Climate_Lookup[Postcode],tbl_Climate_Lookup[IRR])</f>
        <v>359.92992125984131</v>
      </c>
      <c r="AT6" s="46">
        <f>_xlfn.XLOOKUP(tbl_School_Multi[[#This Row],[State]],tbl_SGE_School_2022[State],tbl_SGE_School_2022[Electricity
(kgCO2/kWh)])</f>
        <v>0.18</v>
      </c>
      <c r="AU6" s="46">
        <f>_xlfn.XLOOKUP(tbl_School_Multi[[#This Row],[State]],tbl_SGE_School_2022[State],tbl_SGE_School_2022[Gas
(kgCO2/MJ)])</f>
        <v>5.1529999999999999E-2</v>
      </c>
      <c r="AV6" s="46">
        <f>_xlfn.XLOOKUP(tbl_School_Multi[[#This Row],[State]],tbl_SGE_School_2022[State],tbl_SGE_School_2022[LPG
(kgCO2/MJ)])</f>
        <v>8.0799999999999997E-2</v>
      </c>
      <c r="AW6" s="46">
        <f>_xlfn.XLOOKUP(tbl_School_Multi[[#This Row],[State]],tbl_SGE_School_2022[State],tbl_SGE_School_2022[Diesel
(kgCO2/L)])</f>
        <v>3.3774999999999999</v>
      </c>
      <c r="AX6" s="46">
        <f>_xlfn.XLOOKUP(tbl_School_Multi[[#This Row],[State]],tbl_SGE_School_2022[State],tbl_SGE_School_2022[LPG
(kgCO2/L)])</f>
        <v>2.0765600000000002</v>
      </c>
      <c r="AY6" s="46">
        <f>_xlfn.XLOOKUP(tbl_School_Multi[[#This Row],[State]],tbl_SGE_School_2022[State],tbl_SGE_School_2022[Electricity Factors])</f>
        <v>0.22784810126582278</v>
      </c>
      <c r="AZ6" s="46">
        <f>_xlfn.XLOOKUP(tbl_School_Multi[[#This Row],[State]],tbl_SGE_School_2022[State],tbl_SGE_School_2022[[Gas Factors ]])</f>
        <v>0.79730775181804103</v>
      </c>
      <c r="BA6" s="50">
        <f>INDEX(tbl_Conversion_Factors[[Conversion Factors]:[Conversion Factors]],MATCH(tbl_School_Multi[[#Headers],[CFelec]],tbl_Conversion_Factors[[Reference]:[Reference]],0))</f>
        <v>3.6</v>
      </c>
      <c r="BB6" s="50">
        <f>INDEX(tbl_Conversion_Factors[[Conversion Factors]:[Conversion Factors]],MATCH(tbl_School_Multi[[#Headers],[CFlpg]],tbl_Conversion_Factors[[Reference]:[Reference]],0))</f>
        <v>25.7</v>
      </c>
      <c r="BC6" s="50">
        <f>INDEX(tbl_Conversion_Factors[[Conversion Factors]:[Conversion Factors]],MATCH(tbl_School_Multi[[#Headers],[CFdiesel]],tbl_Conversion_Factors[[Reference]:[Reference]],0))</f>
        <v>38.6</v>
      </c>
      <c r="BD6" s="45">
        <f>tbl_School_Multi[[#This Row],[SGEe]]/tbl_School_Multi[[#This Row],[CFelec]]</f>
        <v>4.9999999999999996E-2</v>
      </c>
      <c r="BE6" s="45">
        <f>tbl_School_Multi[[#This Row],[SGEd]]/tbl_School_Multi[[#This Row],[CFdiesel]]</f>
        <v>8.7499999999999994E-2</v>
      </c>
      <c r="BF6" s="46">
        <f>IF(SUM(tbl_School_Multi[[#This Row],[Electricity (%)]:[Diesel (%)]])=1,
SUM(tbl_School_Multi[[#This Row],[Electricity (%)]]*tbl_School_Multi[[#This Row],[SGEeMJ]],
tbl_School_Multi[[#This Row],[Gas (%)]]*tbl_School_Multi[[#This Row],[SGEg]],
tbl_School_Multi[[#This Row],[LPG (%)]]*tbl_School_Multi[[#This Row],[SGEl]],
tbl_School_Multi[[#This Row],[Diesel (%)]]*tbl_School_Multi[[#This Row],[SGEdMJ]]),
0)</f>
        <v>5.7289E-2</v>
      </c>
      <c r="BG6" s="46">
        <f>INDEX(tbl_NGA_Factors_2022[#Data],MATCH(tbl_School_Multi[[State]:[State]],tbl_NGA_Factors_2022[[State]:[State]],0),MATCH(tbl_School_Multi[[#Headers],[SGEe Scopes 1,2&amp;3]],tbl_NGA_Factors_2022[#Headers],0))</f>
        <v>0.18000000000000002</v>
      </c>
      <c r="BH6" s="46">
        <f>INDEX(tbl_NGA_Factors_2022[#Data],MATCH(tbl_School_Multi[[State]:[State]],tbl_NGA_Factors_2022[[State]:[State]],0),MATCH(tbl_School_Multi[[#Headers],[SGEg Scopes 1,2&amp;3]],tbl_NGA_Factors_2022[#Headers],0))</f>
        <v>5.1529999999999999E-2</v>
      </c>
      <c r="BI6" s="46">
        <f>INDEX(tbl_NGA_Factors_2022[#Data],MATCH(tbl_School_Multi[[State]:[State]],tbl_NGA_Factors_2022[[State]:[State]],0),MATCH(tbl_School_Multi[[#Headers],[SGEl Scopes 1,2&amp;3]],tbl_NGA_Factors_2022[#Headers],0))</f>
        <v>2.0765599999999997</v>
      </c>
      <c r="BJ6" s="46">
        <f>INDEX(tbl_NGA_Factors_2022[#Data],MATCH(tbl_School_Multi[[State]:[State]],tbl_NGA_Factors_2022[[State]:[State]],0),MATCH(tbl_School_Multi[[#Headers],[SGEd Scopes 1,2&amp;3]],tbl_NGA_Factors_2022[#Headers],0))</f>
        <v>3.3775000000000004</v>
      </c>
      <c r="BK6" s="46">
        <f>INDEX(tbl_NGA_Factors_2022[#Data],MATCH(tbl_School_Multi[[State]:[State]],tbl_NGA_Factors_2022[[State]:[State]],0),MATCH(tbl_School_Multi[[#Headers],[SGEe Scopes 1&amp;2]],tbl_NGA_Factors_2022[#Headers],0))</f>
        <v>0.17</v>
      </c>
      <c r="BL6" s="46">
        <f>INDEX(tbl_NGA_Factors_2022[#Data],MATCH(tbl_School_Multi[[State]:[State]],tbl_NGA_Factors_2022[[State]:[State]],0),MATCH(tbl_School_Multi[[#Headers],[SGEg Scopes 1&amp;2]],tbl_NGA_Factors_2022[#Headers],0))</f>
        <v>5.1529999999999999E-2</v>
      </c>
      <c r="BM6" s="46">
        <f>INDEX(tbl_NGA_Factors_2022[#Data],MATCH(tbl_School_Multi[[State]:[State]],tbl_NGA_Factors_2022[[State]:[State]],0),MATCH(tbl_School_Multi[[#Headers],[SGEl Scopes 1&amp;2]],tbl_NGA_Factors_2022[#Headers],0))</f>
        <v>1.55742</v>
      </c>
      <c r="BN6" s="46">
        <f>INDEX(tbl_NGA_Factors_2022[#Data],MATCH(tbl_School_Multi[[State]:[State]],tbl_NGA_Factors_2022[[State]:[State]],0),MATCH(tbl_School_Multi[[#Headers],[SGEd Scopes 1&amp;2]],tbl_NGA_Factors_2022[#Headers],0))</f>
        <v>2.7097199999999999</v>
      </c>
      <c r="BO6" s="45">
        <f>SUM(tbl_School_Multi[[#This Row],[FTE ELC]:[FTE Special Needs]])</f>
        <v>47</v>
      </c>
      <c r="BP6" s="45">
        <f>SUM(tbl_School_Multi[[#This Row],[FTE Staff]],tbl_School_Multi[[#This Row],[Total Students]])</f>
        <v>97</v>
      </c>
      <c r="BQ6" s="45">
        <f>tbl_School_Multi[[#This Row],[Total Students]]/tbl_School_Multi[[#This Row],[Total GFA]]</f>
        <v>4.7E-2</v>
      </c>
      <c r="BR6" s="787">
        <f>tbl_School_Multi[[#This Row],[FTE ELC]]/tbl_School_Multi[[#This Row],[Total Students]]</f>
        <v>4.2553191489361701E-2</v>
      </c>
      <c r="BS6" s="787">
        <f>tbl_School_Multi[[#This Row],[FTE Primary]]/tbl_School_Multi[[#This Row],[Total Students]]</f>
        <v>0.31914893617021278</v>
      </c>
      <c r="BT6" s="787">
        <f>tbl_School_Multi[[#This Row],[FTE Secondary]]/tbl_School_Multi[[#This Row],[Total Students]]</f>
        <v>0.42553191489361702</v>
      </c>
      <c r="BU6" s="787">
        <f>tbl_School_Multi[[#This Row],[FTE Special Needs]]/tbl_School_Multi[[#This Row],[Total Students]]</f>
        <v>0.21276595744680851</v>
      </c>
      <c r="BV6" s="45" t="str">
        <f>IF(tbl_School_Multi[[#This Row],[ELC/Total Students]]=100%,"ELC Only",IF(tbl_School_Multi[[#This Row],[Special Needs/Total Students]]=100%,"Special Education/Needs Only",IF(AND(tbl_School_Multi[[#This Row],[Primary/Total Students]]&gt;0,tbl_School_Multi[[#This Row],[Secondary/Total Students]]=0),"Primary",IF(AND(tbl_School_Multi[[#This Row],[Secondary/Total Students]]&gt;0,tbl_School_Multi[[#This Row],[Primary/Total Students]]=0),"Secondary","Mixed"))))</f>
        <v>Mixed</v>
      </c>
      <c r="BW6" s="45">
        <f>(37.905*tbl_School_Multi[[#This Row],[ELC/Total Students]]+43.433*tbl_School_Multi[[#This Row],[Primary/Total Students]]+73.552*tbl_School_Multi[[#This Row],[Secondary/Total Students]]+197.75*tbl_School_Multi[[#This Row],[Special Needs/Total Students]])*tbl_School_Multi[[#This Row],[Students/ GFA m²]]+24.85</f>
        <v>29.025845</v>
      </c>
      <c r="BX6" s="45">
        <f>IF(tbl_School_Multi[[#This Row],[CDD]]&lt;1200,5.4068*(10^-4)*tbl_School_Multi[[#This Row],[CDD]]+1.8075*(10^-4)*tbl_School_Multi[[#This Row],[HDD]]+0.52462, 2.8799*(10^-4)*tbl_School_Multi[[#This Row],[CDD]]+1.8075*(10^-4)*tbl_School_Multi[[#This Row],[HDD]]+0.8272)</f>
        <v>0.91065647000000005</v>
      </c>
      <c r="BY6" s="45">
        <f>IF(tbl_School_Multi[[#This Row],[School Remote Area]]="Very Remote",1.232,IF(tbl_School_Multi[[#This Row],[School Remote Area]]="Remote",1.06, IF(tbl_School_Multi[[#This Row],[School Remote Area]]="Inner Regional",0.957,IF(tbl_School_Multi[[#This Row],[School Remote Area]]="Outer Regional",1.063,1))))</f>
        <v>1.232</v>
      </c>
      <c r="BZ6" s="45">
        <f>IF(tbl_School_Multi[[#This Row],[Swimming Pool]]="Yes",6,0)</f>
        <v>0</v>
      </c>
      <c r="CA6" s="45">
        <f>IF(tbl_School_Multi[[#This Row],[School Sector]]="Government School",0.909, IF(tbl_School_Multi[[#This Row],[School Sector]]="Independent School", (0.909*1.584), IF(tbl_School_Multi[[#This Row],[School Sector]]="Catholic Systemic School", 0.909)))</f>
        <v>0.90900000000000003</v>
      </c>
      <c r="CB6" s="45">
        <f>_xlfn.XLOOKUP(tbl_School_Multi[[#This Row],[State]], tbl_School_Coefficients[State],tbl_School_Coefficients[all sectors])</f>
        <v>0.22850000000000001</v>
      </c>
      <c r="CC6" s="45">
        <f>IF(OR(tbl_School_Multi[[#This Row],[School Sector]]="Government School",tbl_School_Multi[[#This Row],[School Sector]]="Catholic Systemic School"),_xlfn.XLOOKUP(tbl_School_Multi[[#This Row],[State]],tbl_School_Coefficients[State], tbl_School_Coefficients[Government Schools and Catholic Systemic Schools]), 1)</f>
        <v>1.5029999999999999</v>
      </c>
      <c r="CD6" s="45">
        <f>(tbl_School_Multi[[#This Row],[C_Student Density]]*tbl_School_Multi[[#This Row],[C_Climate]]*tbl_School_Multi[[#This Row],[C_Remote Area]]+tbl_School_Multi[[#This Row],[C_Pool]])*tbl_School_Multi[[#This Row],[C_School Sector]]*tbl_School_Multi[[#This Row],[C_Emissions]]*tbl_School_Multi[[#This Row],[C_Re-centre]]</f>
        <v>10.166213482663276</v>
      </c>
      <c r="CE6" s="45">
        <f>IF(tbl_School_Multi[[#This Row],[School Type]]="ELC Only", 9.293*tbl_School_Multi[[#This Row],[Total Population]], IF(tbl_School_Multi[[#This Row],[School Type]]="Special Education/Needs Only", 4.133*tbl_School_Multi[[#This Row],[Total Population]], 3.094*tbl_School_Multi[[#This Row],[Total Population]]))</f>
        <v>300.11799999999999</v>
      </c>
      <c r="CF6" s="45">
        <f>2.532*(10^-5)*tbl_School_Multi[[#This Row],[Total Site Area]]*tbl_School_Multi[[#This Row],[IRR]]</f>
        <v>45.567128031495919</v>
      </c>
      <c r="CG6" s="45">
        <f>IF(OR(tbl_School_Multi[[#This Row],[School Remote Area]]="Major Cities", tbl_School_Multi[[#This Row],[School Remote Area]]="Inner Regional"), 1, 1.828)</f>
        <v>1.8280000000000001</v>
      </c>
      <c r="CH6" s="45">
        <f>10*tbl_School_Multi[[#This Row],[Pool Size]]</f>
        <v>0</v>
      </c>
      <c r="CI6" s="45">
        <f>IF(tbl_School_Multi[[#This Row],[School Sector]]="Government School",1, IF(tbl_School_Multi[[#This Row],[School Sector]]="Independent School", 2.112, IF(tbl_School_Multi[[#This Row],[School Sector]]="Catholic Systemic School", 1)))</f>
        <v>1</v>
      </c>
      <c r="CJ6" s="45">
        <f>tbl_School_Multi[[#This Row],[Predicted Emissions per GFA]]*tbl_School_Multi[[#This Row],[Total GFA]]</f>
        <v>10166.213482663275</v>
      </c>
      <c r="CK6" s="36">
        <f>(7-tbl_School_Multi[[#This Row],[Target Energy]])/3.75</f>
        <v>1.0666666666666667</v>
      </c>
      <c r="CL6" s="36">
        <f>tbl_School_Multi[[#This Row],[Predicted Emissions]]*tbl_School_Multi[[#This Row],[Predicted Emissions Ratio]]/tbl_School_Multi[[#This Row],[Total GFA]]</f>
        <v>10.84396104817416</v>
      </c>
      <c r="CM6" s="44">
        <f>tbl_School_Multi[[#This Row],[Predicted Emissions]]*tbl_School_Multi[[#This Row],[Predicted Emissions Ratio]]</f>
        <v>10843.96104817416</v>
      </c>
      <c r="CN6" s="44">
        <f>tbl_School_Multi[[#This Row],[Target Max CO2]]/tbl_School_Multi[[#This Row],[EffGHGMJ]]</f>
        <v>189285.22138934454</v>
      </c>
      <c r="CO6" s="44">
        <f>tbl_School_Multi[[#This Row],[Target Max Energy (MJ)]]/tbl_School_Multi[[#This Row],[Total GFA]]</f>
        <v>189.28522138934454</v>
      </c>
      <c r="CP6" s="44">
        <f>ROUNDDOWN(tbl_School_Multi[[#This Row],[Target Max Energy (MJ)]]*tbl_School_Multi[[#This Row],[Electricity (%)]]/tbl_School_Multi[[#This Row],[CFelec]],0)</f>
        <v>26289</v>
      </c>
      <c r="CQ6" s="44">
        <f>ROUNDDOWN(tbl_School_Multi[[#This Row],[Target Max Energy (MJ)]]*tbl_School_Multi[[#This Row],[Gas (%)]],0)</f>
        <v>56785</v>
      </c>
      <c r="CR6" s="44">
        <f>ROUNDDOWN(tbl_School_Multi[[#This Row],[Target Max Energy (MJ)]]*tbl_School_Multi[[#This Row],[LPG (%)]]/tbl_School_Multi[[#This Row],[CFlpg]],0)</f>
        <v>736</v>
      </c>
      <c r="CS6" s="44">
        <f>ROUNDDOWN(tbl_School_Multi[[#This Row],[Target Max Energy (MJ)]]*tbl_School_Multi[[#This Row],[Diesel (%)]]/tbl_School_Multi[[#This Row],[CFdiesel]],0)</f>
        <v>490</v>
      </c>
      <c r="CT6" s="44">
        <f>SUM(tbl_School_Multi[[#This Row],[Target Max Elec (kWh)]]*tbl_School_Multi[[#This Row],[SGEe Scopes 1,2&amp;3]],
tbl_School_Multi[[#This Row],[Target Max Gas (MJ)]]*tbl_School_Multi[[#This Row],[SGEg Scopes 1,2&amp;3]],
tbl_School_Multi[[#This Row],[Target Max LPG (L)]]*tbl_School_Multi[[#This Row],[SGEl Scopes 1,2&amp;3]],
tbl_School_Multi[[#This Row],[Target Max Diesel (L)]]*tbl_School_Multi[[#This Row],[SGEd Scopes 1,2&amp;3]])</f>
        <v>10841.47421</v>
      </c>
      <c r="CU6" s="44">
        <f>SUM(tbl_School_Multi[[#This Row],[Target Max Elec (kWh)]]*tbl_School_Multi[[#This Row],[SGEe Scopes 1&amp;2]],
tbl_School_Multi[[#This Row],[Target Max Gas (MJ)]]*tbl_School_Multi[[#This Row],[SGEg Scopes 1&amp;2]],
tbl_School_Multi[[#This Row],[Target Max LPG (L)]]*tbl_School_Multi[[#This Row],[SGEl Scopes 1&amp;2]],
tbl_School_Multi[[#This Row],[Target Max Diesel (L)]]*tbl_School_Multi[[#This Row],[SGEd Scopes 1&amp;2]])</f>
        <v>9869.2849700000006</v>
      </c>
      <c r="CV6" s="44">
        <f>((tbl_School_Multi[[#This Row],[C_Total Population_Water]]+tbl_School_Multi[[#This Row],[C_Site Area/Irrigation_Water]])*tbl_School_Multi[[#This Row],[C_Remote Area_Water]]*tbl_School_Multi[[#This Row],[C_School Sector_Water]])+tbl_School_Multi[[#This Row],[C_Swimming Pool_Water]]</f>
        <v>631.91241404157461</v>
      </c>
      <c r="CW6" s="36">
        <f>(7-tbl_School_Multi[[#This Row],[Target Water]])/3.75</f>
        <v>1.0666666666666667</v>
      </c>
      <c r="CX6" s="44">
        <f>tbl_School_Multi[[#This Row],[Predicted Water]]*tbl_School_Multi[[#This Row],[Target Max Water Ratio]]</f>
        <v>674.03990831101294</v>
      </c>
      <c r="CY6" s="296">
        <f>tbl_School_Multi[[#This Row],[Target Max Water (kL)]]/tbl_School_Multi[[#This Row],[Total Site Area]]</f>
        <v>0.13480798166220259</v>
      </c>
      <c r="CZ6" s="36">
        <f>(7-LEFT(tbl_School_Multi[[#Headers],[6.0* Max Benchmarking Factor]],3))/3.75</f>
        <v>0.26666666666666666</v>
      </c>
      <c r="DA6" s="36">
        <f>(7-LEFT(tbl_School_Multi[[#Headers],[5.5* Max Benchmarking Factor]],3))/3.75</f>
        <v>0.4</v>
      </c>
      <c r="DB6" s="36">
        <f>(7-LEFT(tbl_School_Multi[[#Headers],[5.0* Max Benchmarking Factor]],3))/3.75</f>
        <v>0.53333333333333333</v>
      </c>
      <c r="DC6" s="36">
        <f>(7-LEFT(tbl_School_Multi[[#Headers],[4.5* Max Benchmarking Factor]],3))/3.75</f>
        <v>0.66666666666666663</v>
      </c>
      <c r="DD6" s="36">
        <f>(7-LEFT(tbl_School_Multi[[#Headers],[4.0* Max Benchmarking Factor]],3))/3.75</f>
        <v>0.8</v>
      </c>
      <c r="DE6" s="36">
        <f>(7-LEFT(tbl_School_Multi[[#Headers],[3.5* Max Benchmarking Factor]],3))/3.75</f>
        <v>0.93333333333333335</v>
      </c>
      <c r="DF6" s="36">
        <f>(7-LEFT(tbl_School_Multi[[#Headers],[3.0* Max Benchmarking Factor]],3))/3.75</f>
        <v>1.0666666666666667</v>
      </c>
      <c r="DG6" s="36">
        <f>(7-LEFT(tbl_School_Multi[[#Headers],[2.5* Max Benchmarking Factor]],3))/3.75</f>
        <v>1.2</v>
      </c>
      <c r="DH6" s="36">
        <f>(7-LEFT(tbl_School_Multi[[#Headers],[2.0* Max Benchmarking Factor]],3))/3.75</f>
        <v>1.3333333333333333</v>
      </c>
      <c r="DI6" s="36">
        <f>(7-LEFT(tbl_School_Multi[[#Headers],[1.5* Max Benchmarking Factor]],3))/3.75</f>
        <v>1.4666666666666666</v>
      </c>
      <c r="DJ6" s="36">
        <f>(7-LEFT(tbl_School_Multi[[#Headers],[1.0* Max Benchmarking Factor]],3))/3.75</f>
        <v>1.6</v>
      </c>
      <c r="DK6" s="36">
        <f>(7-LEFT(tbl_School_Multi[[#Headers],[0.0* Max Benchmarking Factor]],3))/3.75</f>
        <v>1.8666666666666667</v>
      </c>
      <c r="DL6" s="44">
        <f>tbl_School_Multi[[Predicted Emissions]:[Predicted Emissions]]*tbl_School_Multi[[#This Row],[6.0* Max Benchmarking Factor]]</f>
        <v>2710.99026204354</v>
      </c>
      <c r="DM6" s="44">
        <f>tbl_School_Multi[[Predicted Emissions]:[Predicted Emissions]]*tbl_School_Multi[[#This Row],[5.5* Max Benchmarking Factor]]</f>
        <v>4066.4853930653103</v>
      </c>
      <c r="DN6" s="44">
        <f>tbl_School_Multi[[Predicted Emissions]:[Predicted Emissions]]*tbl_School_Multi[[#This Row],[5.0* Max Benchmarking Factor]]</f>
        <v>5421.9805240870801</v>
      </c>
      <c r="DO6" s="44">
        <f>tbl_School_Multi[[Predicted Emissions]:[Predicted Emissions]]*tbl_School_Multi[[#This Row],[4.5* Max Benchmarking Factor]]</f>
        <v>6777.4756551088503</v>
      </c>
      <c r="DP6" s="44">
        <f>tbl_School_Multi[[Predicted Emissions]:[Predicted Emissions]]*tbl_School_Multi[[#This Row],[4.0* Max Benchmarking Factor]]</f>
        <v>8132.9707861306206</v>
      </c>
      <c r="DQ6" s="44">
        <f>tbl_School_Multi[[Predicted Emissions]:[Predicted Emissions]]*tbl_School_Multi[[#This Row],[3.5* Max Benchmarking Factor]]</f>
        <v>9488.4659171523908</v>
      </c>
      <c r="DR6" s="44">
        <f>tbl_School_Multi[[Predicted Emissions]:[Predicted Emissions]]*tbl_School_Multi[[#This Row],[3.0* Max Benchmarking Factor]]</f>
        <v>10843.96104817416</v>
      </c>
      <c r="DS6" s="44">
        <f>tbl_School_Multi[[Predicted Emissions]:[Predicted Emissions]]*tbl_School_Multi[[#This Row],[2.5* Max Benchmarking Factor]]</f>
        <v>12199.45617919593</v>
      </c>
      <c r="DT6" s="44">
        <f>tbl_School_Multi[[Predicted Emissions]:[Predicted Emissions]]*tbl_School_Multi[[#This Row],[2.0* Max Benchmarking Factor]]</f>
        <v>13554.951310217701</v>
      </c>
      <c r="DU6" s="44">
        <f>tbl_School_Multi[[Predicted Emissions]:[Predicted Emissions]]*tbl_School_Multi[[#This Row],[1.5* Max Benchmarking Factor]]</f>
        <v>14910.44644123947</v>
      </c>
      <c r="DV6" s="44">
        <f>tbl_School_Multi[[Predicted Emissions]:[Predicted Emissions]]*tbl_School_Multi[[#This Row],[1.0* Max Benchmarking Factor]]</f>
        <v>16265.941572261241</v>
      </c>
      <c r="DW6" s="44">
        <f>tbl_School_Multi[[Predicted Emissions]:[Predicted Emissions]]*tbl_School_Multi[[#This Row],[0.0* Max Benchmarking Factor]]</f>
        <v>18976.931834304782</v>
      </c>
      <c r="DX6" s="44">
        <f>tbl_School_Multi[[#This Row],[6.0* Max CO2]]/tbl_School_Multi[[EffGHGMJ]:[EffGHGMJ]]</f>
        <v>47321.305347336136</v>
      </c>
      <c r="DY6" s="44">
        <f>tbl_School_Multi[[#This Row],[5.5* Max CO2]]/tbl_School_Multi[[EffGHGMJ]:[EffGHGMJ]]</f>
        <v>70981.958021004219</v>
      </c>
      <c r="DZ6" s="44">
        <f>tbl_School_Multi[[#This Row],[5.0* Max CO2]]/tbl_School_Multi[[EffGHGMJ]:[EffGHGMJ]]</f>
        <v>94642.610694672272</v>
      </c>
      <c r="EA6" s="44">
        <f>tbl_School_Multi[[#This Row],[4.5* Max CO2]]/tbl_School_Multi[[EffGHGMJ]:[EffGHGMJ]]</f>
        <v>118303.26336834035</v>
      </c>
      <c r="EB6" s="44">
        <f>tbl_School_Multi[[#This Row],[4.0* Max CO2]]/tbl_School_Multi[[EffGHGMJ]:[EffGHGMJ]]</f>
        <v>141963.91604200844</v>
      </c>
      <c r="EC6" s="44">
        <f>tbl_School_Multi[[#This Row],[3.5* Max CO2]]/tbl_School_Multi[[EffGHGMJ]:[EffGHGMJ]]</f>
        <v>165624.56871567649</v>
      </c>
      <c r="ED6" s="44">
        <f>tbl_School_Multi[[#This Row],[3.0* Max CO2]]/tbl_School_Multi[[EffGHGMJ]:[EffGHGMJ]]</f>
        <v>189285.22138934454</v>
      </c>
      <c r="EE6" s="44">
        <f>tbl_School_Multi[[#This Row],[2.5* Max CO2]]/tbl_School_Multi[[EffGHGMJ]:[EffGHGMJ]]</f>
        <v>212945.87406301263</v>
      </c>
      <c r="EF6" s="44">
        <f>tbl_School_Multi[[#This Row],[2.0* Max CO2]]/tbl_School_Multi[[EffGHGMJ]:[EffGHGMJ]]</f>
        <v>236606.52673668071</v>
      </c>
      <c r="EG6" s="44">
        <f>tbl_School_Multi[[#This Row],[1.5* Max CO2]]/tbl_School_Multi[[EffGHGMJ]:[EffGHGMJ]]</f>
        <v>260267.17941034876</v>
      </c>
      <c r="EH6" s="44">
        <f>tbl_School_Multi[[#This Row],[1.0* Max CO2]]/tbl_School_Multi[[EffGHGMJ]:[EffGHGMJ]]</f>
        <v>283927.83208401687</v>
      </c>
      <c r="EI6" s="44">
        <f>tbl_School_Multi[[#This Row],[0.0* Max CO2]]/tbl_School_Multi[[EffGHGMJ]:[EffGHGMJ]]</f>
        <v>331249.13743135298</v>
      </c>
      <c r="EJ6" s="44">
        <f>ROUNDDOWN(tbl_School_Multi[[#This Row],[6.0* Max Energy (MJ)]]*tbl_School_Multi[[Electricity (%)]:[Electricity (%)]]/tbl_School_Multi[[CFelec]:[CFelec]],0)</f>
        <v>6572</v>
      </c>
      <c r="EK6" s="44">
        <f>ROUNDDOWN(tbl_School_Multi[[#This Row],[5.5* Max Energy (MJ)]]*tbl_School_Multi[[Electricity (%)]:[Electricity (%)]]/tbl_School_Multi[[CFelec]:[CFelec]],0)</f>
        <v>9858</v>
      </c>
      <c r="EL6" s="44">
        <f>ROUNDDOWN(tbl_School_Multi[[#This Row],[5.0* Max Energy (MJ)]]*tbl_School_Multi[[Electricity (%)]:[Electricity (%)]]/tbl_School_Multi[[CFelec]:[CFelec]],0)</f>
        <v>13144</v>
      </c>
      <c r="EM6" s="44">
        <f>ROUNDDOWN(tbl_School_Multi[[#This Row],[4.5* Max Energy (MJ)]]*tbl_School_Multi[[Electricity (%)]:[Electricity (%)]]/tbl_School_Multi[[CFelec]:[CFelec]],0)</f>
        <v>16431</v>
      </c>
      <c r="EN6" s="44">
        <f>ROUNDDOWN(tbl_School_Multi[[#This Row],[4.0* Max Energy (MJ)]]*tbl_School_Multi[[Electricity (%)]:[Electricity (%)]]/tbl_School_Multi[[CFelec]:[CFelec]],0)</f>
        <v>19717</v>
      </c>
      <c r="EO6" s="44">
        <f>ROUNDDOWN(tbl_School_Multi[[#This Row],[3.5* Max Energy (MJ)]]*tbl_School_Multi[[Electricity (%)]:[Electricity (%)]]/tbl_School_Multi[[CFelec]:[CFelec]],0)</f>
        <v>23003</v>
      </c>
      <c r="EP6" s="44">
        <f>ROUNDDOWN(tbl_School_Multi[[#This Row],[3.0* Max Energy (MJ)]]*tbl_School_Multi[[Electricity (%)]:[Electricity (%)]]/tbl_School_Multi[[CFelec]:[CFelec]],0)</f>
        <v>26289</v>
      </c>
      <c r="EQ6" s="44">
        <f>ROUNDDOWN(tbl_School_Multi[[#This Row],[2.5* Max Energy (MJ)]]*tbl_School_Multi[[Electricity (%)]:[Electricity (%)]]/tbl_School_Multi[[CFelec]:[CFelec]],0)</f>
        <v>29575</v>
      </c>
      <c r="ER6" s="44">
        <f>ROUNDDOWN(tbl_School_Multi[[#This Row],[2.0* Max Energy (MJ)]]*tbl_School_Multi[[Electricity (%)]:[Electricity (%)]]/tbl_School_Multi[[CFelec]:[CFelec]],0)</f>
        <v>32862</v>
      </c>
      <c r="ES6" s="44">
        <f>ROUNDDOWN(tbl_School_Multi[[#This Row],[1.5* Max Energy (MJ)]]*tbl_School_Multi[[Electricity (%)]:[Electricity (%)]]/tbl_School_Multi[[CFelec]:[CFelec]],0)</f>
        <v>36148</v>
      </c>
      <c r="ET6" s="44">
        <f>ROUNDDOWN(tbl_School_Multi[[#This Row],[1.0* Max Energy (MJ)]]*tbl_School_Multi[[Electricity (%)]:[Electricity (%)]]/tbl_School_Multi[[CFelec]:[CFelec]],0)</f>
        <v>39434</v>
      </c>
      <c r="EU6" s="44">
        <f>ROUNDDOWN(tbl_School_Multi[[#This Row],[0.0* Max Energy (MJ)]]*tbl_School_Multi[[Electricity (%)]:[Electricity (%)]]/tbl_School_Multi[[CFelec]:[CFelec]],0)</f>
        <v>46006</v>
      </c>
      <c r="EV6" s="44">
        <f>ROUNDDOWN(tbl_School_Multi[[#This Row],[6.0* Max Energy (MJ)]]*tbl_School_Multi[[Gas (%)]:[Gas (%)]],0)</f>
        <v>14196</v>
      </c>
      <c r="EW6" s="44">
        <f>ROUNDDOWN(tbl_School_Multi[[#This Row],[5.5* Max Energy (MJ)]]*tbl_School_Multi[[Gas (%)]:[Gas (%)]],0)</f>
        <v>21294</v>
      </c>
      <c r="EX6" s="44">
        <f>ROUNDDOWN(tbl_School_Multi[[#This Row],[5.0* Max Energy (MJ)]]*tbl_School_Multi[[Gas (%)]:[Gas (%)]],0)</f>
        <v>28392</v>
      </c>
      <c r="EY6" s="44">
        <f>ROUNDDOWN(tbl_School_Multi[[#This Row],[4.5* Max Energy (MJ)]]*tbl_School_Multi[[Gas (%)]:[Gas (%)]],0)</f>
        <v>35490</v>
      </c>
      <c r="EZ6" s="44">
        <f>ROUNDDOWN(tbl_School_Multi[[#This Row],[4.0* Max Energy (MJ)]]*tbl_School_Multi[[Gas (%)]:[Gas (%)]],0)</f>
        <v>42589</v>
      </c>
      <c r="FA6" s="44">
        <f>ROUNDDOWN(tbl_School_Multi[[#This Row],[3.5* Max Energy (MJ)]]*tbl_School_Multi[[Gas (%)]:[Gas (%)]],0)</f>
        <v>49687</v>
      </c>
      <c r="FB6" s="44">
        <f>ROUNDDOWN(tbl_School_Multi[[#This Row],[3.0* Max Energy (MJ)]]*tbl_School_Multi[[Gas (%)]:[Gas (%)]],0)</f>
        <v>56785</v>
      </c>
      <c r="FC6" s="44">
        <f>ROUNDDOWN(tbl_School_Multi[[#This Row],[2.5* Max Energy (MJ)]]*tbl_School_Multi[[Gas (%)]:[Gas (%)]],0)</f>
        <v>63883</v>
      </c>
      <c r="FD6" s="44">
        <f>ROUNDDOWN(tbl_School_Multi[[#This Row],[2.0* Max Energy (MJ)]]*tbl_School_Multi[[Gas (%)]:[Gas (%)]],0)</f>
        <v>70981</v>
      </c>
      <c r="FE6" s="44">
        <f>ROUNDDOWN(tbl_School_Multi[[#This Row],[1.5* Max Energy (MJ)]]*tbl_School_Multi[[Gas (%)]:[Gas (%)]],0)</f>
        <v>78080</v>
      </c>
      <c r="FF6" s="44">
        <f>ROUNDDOWN(tbl_School_Multi[[#This Row],[1.0* Max Energy (MJ)]]*tbl_School_Multi[[Gas (%)]:[Gas (%)]],0)</f>
        <v>85178</v>
      </c>
      <c r="FG6" s="44">
        <f>ROUNDDOWN(tbl_School_Multi[[#This Row],[0.0* Max Energy (MJ)]]*tbl_School_Multi[[Gas (%)]:[Gas (%)]],0)</f>
        <v>99374</v>
      </c>
      <c r="FH6" s="44">
        <f>ROUNDDOWN(tbl_School_Multi[[#This Row],[6.0* Max Energy (MJ)]]*tbl_School_Multi[[LPG (%)]:[LPG (%)]]/tbl_School_Multi[[CFlpg]:[CFlpg]],0)</f>
        <v>184</v>
      </c>
      <c r="FI6" s="44">
        <f>ROUNDDOWN(tbl_School_Multi[[#This Row],[5.5* Max Energy (MJ)]]*tbl_School_Multi[[LPG (%)]:[LPG (%)]]/tbl_School_Multi[[CFlpg]:[CFlpg]],0)</f>
        <v>276</v>
      </c>
      <c r="FJ6" s="44">
        <f>ROUNDDOWN(tbl_School_Multi[[#This Row],[5.0* Max Energy (MJ)]]*tbl_School_Multi[[LPG (%)]:[LPG (%)]]/tbl_School_Multi[[CFlpg]:[CFlpg]],0)</f>
        <v>368</v>
      </c>
      <c r="FK6" s="44">
        <f>ROUNDDOWN(tbl_School_Multi[[#This Row],[4.5* Max Energy (MJ)]]*tbl_School_Multi[[LPG (%)]:[LPG (%)]]/tbl_School_Multi[[CFlpg]:[CFlpg]],0)</f>
        <v>460</v>
      </c>
      <c r="FL6" s="44">
        <f>ROUNDDOWN(tbl_School_Multi[[#This Row],[4.0* Max Energy (MJ)]]*tbl_School_Multi[[LPG (%)]:[LPG (%)]]/tbl_School_Multi[[CFlpg]:[CFlpg]],0)</f>
        <v>552</v>
      </c>
      <c r="FM6" s="44">
        <f>ROUNDDOWN(tbl_School_Multi[[#This Row],[3.5* Max Energy (MJ)]]*tbl_School_Multi[[LPG (%)]:[LPG (%)]]/tbl_School_Multi[[CFlpg]:[CFlpg]],0)</f>
        <v>644</v>
      </c>
      <c r="FN6" s="44">
        <f>ROUNDDOWN(tbl_School_Multi[[#This Row],[3.0* Max Energy (MJ)]]*tbl_School_Multi[[LPG (%)]:[LPG (%)]]/tbl_School_Multi[[CFlpg]:[CFlpg]],0)</f>
        <v>736</v>
      </c>
      <c r="FO6" s="44">
        <f>ROUNDDOWN(tbl_School_Multi[[#This Row],[2.5* Max Energy (MJ)]]*tbl_School_Multi[[LPG (%)]:[LPG (%)]]/tbl_School_Multi[[CFlpg]:[CFlpg]],0)</f>
        <v>828</v>
      </c>
      <c r="FP6" s="44">
        <f>ROUNDDOWN(tbl_School_Multi[[#This Row],[2.0* Max Energy (MJ)]]*tbl_School_Multi[[LPG (%)]:[LPG (%)]]/tbl_School_Multi[[CFlpg]:[CFlpg]],0)</f>
        <v>920</v>
      </c>
      <c r="FQ6" s="44">
        <f>ROUNDDOWN(tbl_School_Multi[[#This Row],[1.5* Max Energy (MJ)]]*tbl_School_Multi[[LPG (%)]:[LPG (%)]]/tbl_School_Multi[[CFlpg]:[CFlpg]],0)</f>
        <v>1012</v>
      </c>
      <c r="FR6" s="44">
        <f>ROUNDDOWN(tbl_School_Multi[[#This Row],[1.0* Max Energy (MJ)]]*tbl_School_Multi[[LPG (%)]:[LPG (%)]]/tbl_School_Multi[[CFlpg]:[CFlpg]],0)</f>
        <v>1104</v>
      </c>
      <c r="FS6" s="44">
        <f>ROUNDDOWN(tbl_School_Multi[[#This Row],[0.0* Max Energy (MJ)]]*tbl_School_Multi[[LPG (%)]:[LPG (%)]]/tbl_School_Multi[[CFlpg]:[CFlpg]],0)</f>
        <v>1288</v>
      </c>
      <c r="FT6" s="44">
        <f>ROUNDDOWN(tbl_School_Multi[[#This Row],[6.0* Max Energy (MJ)]]*tbl_School_Multi[[Diesel (%)]:[Diesel (%)]]/tbl_School_Multi[[CFdiesel]:[CFdiesel]],0)</f>
        <v>122</v>
      </c>
      <c r="FU6" s="44">
        <f>ROUNDDOWN(tbl_School_Multi[[#This Row],[5.5* Max Energy (MJ)]]*tbl_School_Multi[[Diesel (%)]:[Diesel (%)]]/tbl_School_Multi[[CFdiesel]:[CFdiesel]],0)</f>
        <v>183</v>
      </c>
      <c r="FV6" s="44">
        <f>ROUNDDOWN(tbl_School_Multi[[#This Row],[5.0* Max Energy (MJ)]]*tbl_School_Multi[[Diesel (%)]:[Diesel (%)]]/tbl_School_Multi[[CFdiesel]:[CFdiesel]],0)</f>
        <v>245</v>
      </c>
      <c r="FW6" s="44">
        <f>ROUNDDOWN(tbl_School_Multi[[#This Row],[4.5* Max Energy (MJ)]]*tbl_School_Multi[[Diesel (%)]:[Diesel (%)]]/tbl_School_Multi[[CFdiesel]:[CFdiesel]],0)</f>
        <v>306</v>
      </c>
      <c r="FX6" s="44">
        <f>ROUNDDOWN(tbl_School_Multi[[#This Row],[4.0* Max Energy (MJ)]]*tbl_School_Multi[[Diesel (%)]:[Diesel (%)]]/tbl_School_Multi[[CFdiesel]:[CFdiesel]],0)</f>
        <v>367</v>
      </c>
      <c r="FY6" s="44">
        <f>ROUNDDOWN(tbl_School_Multi[[#This Row],[3.5* Max Energy (MJ)]]*tbl_School_Multi[[Diesel (%)]:[Diesel (%)]]/tbl_School_Multi[[CFdiesel]:[CFdiesel]],0)</f>
        <v>429</v>
      </c>
      <c r="FZ6" s="44">
        <f>ROUNDDOWN(tbl_School_Multi[[#This Row],[3.0* Max Energy (MJ)]]*tbl_School_Multi[[Diesel (%)]:[Diesel (%)]]/tbl_School_Multi[[CFdiesel]:[CFdiesel]],0)</f>
        <v>490</v>
      </c>
      <c r="GA6" s="44">
        <f>ROUNDDOWN(tbl_School_Multi[[#This Row],[2.5* Max Energy (MJ)]]*tbl_School_Multi[[Diesel (%)]:[Diesel (%)]]/tbl_School_Multi[[CFdiesel]:[CFdiesel]],0)</f>
        <v>551</v>
      </c>
      <c r="GB6" s="44">
        <f>ROUNDDOWN(tbl_School_Multi[[#This Row],[2.0* Max Energy (MJ)]]*tbl_School_Multi[[Diesel (%)]:[Diesel (%)]]/tbl_School_Multi[[CFdiesel]:[CFdiesel]],0)</f>
        <v>612</v>
      </c>
      <c r="GC6" s="44">
        <f>ROUNDDOWN(tbl_School_Multi[[#This Row],[1.5* Max Energy (MJ)]]*tbl_School_Multi[[Diesel (%)]:[Diesel (%)]]/tbl_School_Multi[[CFdiesel]:[CFdiesel]],0)</f>
        <v>674</v>
      </c>
      <c r="GD6" s="44">
        <f>ROUNDDOWN(tbl_School_Multi[[#This Row],[1.0* Max Energy (MJ)]]*tbl_School_Multi[[Diesel (%)]:[Diesel (%)]]/tbl_School_Multi[[CFdiesel]:[CFdiesel]],0)</f>
        <v>735</v>
      </c>
      <c r="GE6" s="44">
        <f>ROUNDDOWN(tbl_School_Multi[[#This Row],[0.0* Max Energy (MJ)]]*tbl_School_Multi[[Diesel (%)]:[Diesel (%)]]/tbl_School_Multi[[CFdiesel]:[CFdiesel]],0)</f>
        <v>858</v>
      </c>
      <c r="GF6" s="44">
        <f>tbl_School_Multi[[Predicted Water]:[Predicted Water]]*tbl_School_Multi[[#This Row],[6.0* Max Benchmarking Factor]]</f>
        <v>168.50997707775323</v>
      </c>
      <c r="GG6" s="44">
        <f>tbl_School_Multi[[Predicted Water]:[Predicted Water]]*tbl_School_Multi[[#This Row],[5.5* Max Benchmarking Factor]]</f>
        <v>252.76496561662987</v>
      </c>
      <c r="GH6" s="44">
        <f>tbl_School_Multi[[Predicted Water]:[Predicted Water]]*tbl_School_Multi[[#This Row],[5.0* Max Benchmarking Factor]]</f>
        <v>337.01995415550647</v>
      </c>
      <c r="GI6" s="44">
        <f>tbl_School_Multi[[Predicted Water]:[Predicted Water]]*tbl_School_Multi[[#This Row],[4.5* Max Benchmarking Factor]]</f>
        <v>421.27494269438307</v>
      </c>
      <c r="GJ6" s="44">
        <f>tbl_School_Multi[[Predicted Water]:[Predicted Water]]*tbl_School_Multi[[#This Row],[4.0* Max Benchmarking Factor]]</f>
        <v>505.52993123325973</v>
      </c>
      <c r="GK6" s="44">
        <f>tbl_School_Multi[[Predicted Water]:[Predicted Water]]*tbl_School_Multi[[#This Row],[3.5* Max Benchmarking Factor]]</f>
        <v>589.78491977213628</v>
      </c>
      <c r="GL6" s="44">
        <f>tbl_School_Multi[[Predicted Water]:[Predicted Water]]*tbl_School_Multi[[#This Row],[3.0* Max Benchmarking Factor]]</f>
        <v>674.03990831101294</v>
      </c>
      <c r="GM6" s="44">
        <f>tbl_School_Multi[[Predicted Water]:[Predicted Water]]*tbl_School_Multi[[#This Row],[2.5* Max Benchmarking Factor]]</f>
        <v>758.29489684988948</v>
      </c>
      <c r="GN6" s="44">
        <f>tbl_School_Multi[[Predicted Water]:[Predicted Water]]*tbl_School_Multi[[#This Row],[2.0* Max Benchmarking Factor]]</f>
        <v>842.54988538876614</v>
      </c>
      <c r="GO6" s="44">
        <f>tbl_School_Multi[[Predicted Water]:[Predicted Water]]*tbl_School_Multi[[#This Row],[1.5* Max Benchmarking Factor]]</f>
        <v>926.80487392764269</v>
      </c>
      <c r="GP6" s="44">
        <f>tbl_School_Multi[[Predicted Water]:[Predicted Water]]*tbl_School_Multi[[#This Row],[1.0* Max Benchmarking Factor]]</f>
        <v>1011.0598624665195</v>
      </c>
      <c r="GQ6" s="44">
        <f>tbl_School_Multi[[Predicted Water]:[Predicted Water]]*tbl_School_Multi[[#This Row],[0.0* Max Benchmarking Factor]]</f>
        <v>1179.5698395442726</v>
      </c>
      <c r="GR6" s="44">
        <f>SUM(tbl_School_Multi[[#This Row],[Electricity]]*(1-tbl_School_Multi[[#This Row],[GP]])*tbl_School_Multi[[#This Row],[SGEe Scopes 1,2&amp;3]],
tbl_School_Multi[[#This Row],[Gas]]*tbl_School_Multi[[#This Row],[SGEg Scopes 1,2&amp;3]],
tbl_School_Multi[[#This Row],[LPG]]*tbl_School_Multi[[#This Row],[SGEl Scopes 1,2&amp;3]],
tbl_School_Multi[[#This Row],[Diesel]]*tbl_School_Multi[[#This Row],[SGEd Scopes 1,2&amp;3]])</f>
        <v>0</v>
      </c>
      <c r="GS6" s="44">
        <f>SUM(tbl_School_Multi[[#This Row],[Electricity]]*(1-tbl_School_Multi[[#This Row],[GP]])*tbl_School_Multi[[#This Row],[SGEe Scopes 1&amp;2]],
tbl_School_Multi[[#This Row],[Gas]]*tbl_School_Multi[[#This Row],[SGEg Scopes 1&amp;2]],
tbl_School_Multi[[#This Row],[LPG]]*tbl_School_Multi[[#This Row],[SGEl Scopes 1&amp;2]],
tbl_School_Multi[[#This Row],[Diesel]]*tbl_School_Multi[[#This Row],[SGEd Scopes 1&amp;2]])</f>
        <v>0</v>
      </c>
      <c r="GT6" s="45">
        <f>SUM(tbl_School_Multi[[#This Row],[Electricity]]*(1-tbl_School_Multi[[#This Row],[GP]])*tbl_School_Multi[[#This Row],[SGEe]],
tbl_School_Multi[[#This Row],[Gas]]*tbl_School_Multi[[#This Row],[SGEg]],
tbl_School_Multi[[#This Row],[LPG]]*tbl_School_Multi[[#This Row],[SGEl]]*tbl_School_Multi[[#This Row],[CFlpg]],
tbl_School_Multi[[#This Row],[Diesel]]*tbl_School_Multi[[#This Row],[SGEd]])</f>
        <v>0</v>
      </c>
      <c r="GU6" s="45">
        <f>SUM(tbl_School_Multi[[#This Row],[Electricity]]*tbl_School_Multi[[#This Row],[SGEe]],
tbl_School_Multi[[#This Row],[Gas]]*tbl_School_Multi[[#This Row],[SGEg]],
tbl_School_Multi[[#This Row],[LPG]]*tbl_School_Multi[[#This Row],[SGEl]]*tbl_School_Multi[[#This Row],[CFlpg]],
tbl_School_Multi[[#This Row],[Diesel]]*tbl_School_Multi[[#This Row],[SGEd]])</f>
        <v>0</v>
      </c>
      <c r="GV6" s="45">
        <f>tbl_School_Multi[[#This Row],[Actual Emissions with GP]]/tbl_School_Multi[[#This Row],[Predicted Emissions]]</f>
        <v>0</v>
      </c>
      <c r="GW6" s="45">
        <f>tbl_School_Multi[[#This Row],[Actual Emissions w/o GP]]/tbl_School_Multi[[#This Row],[Predicted Emissions]]</f>
        <v>0</v>
      </c>
      <c r="GX6" s="45">
        <f>7-3.75*tbl_School_Multi[[#This Row],[Actual/Predicted Emissions with GP]]</f>
        <v>7</v>
      </c>
      <c r="GY6" s="45">
        <f>7-3.75*tbl_School_Multi[[#This Row],[Actual/Predicted Emissions w/o GP]]</f>
        <v>7</v>
      </c>
      <c r="GZ6" s="45">
        <f>MAX(MIN(ROUNDDOWN(tbl_School_Multi[[#This Row],[Energy Star Decimal with GP]]*2,0)/2,6),0)</f>
        <v>6</v>
      </c>
      <c r="HA6" s="45">
        <f>MAX(MIN(ROUNDDOWN(tbl_School_Multi[[#This Row],[Energy Star Decimal w/o GP]]*2,0)/2,6),0)</f>
        <v>6</v>
      </c>
      <c r="HB6" s="828">
        <f>tbl_School_Multi[[#This Row],[Water]]*(1-tbl_School_Multi[[#This Row],[RW]])</f>
        <v>0</v>
      </c>
      <c r="HC6" s="828">
        <f>tbl_School_Multi[[#This Row],[Water]]</f>
        <v>0</v>
      </c>
      <c r="HD6" s="822">
        <f>tbl_School_Multi[[#This Row],[Actual Water with RW]]/tbl_School_Multi[[#This Row],[Predicted Water]]</f>
        <v>0</v>
      </c>
      <c r="HE6" s="822">
        <f>tbl_School_Multi[[#This Row],[Actual Water w/o RW]]/tbl_School_Multi[[#This Row],[Predicted Water]]</f>
        <v>0</v>
      </c>
      <c r="HF6" s="822">
        <f>7-3.75*tbl_School_Multi[[#This Row],[Actual/Predicted Water with RW]]</f>
        <v>7</v>
      </c>
      <c r="HG6" s="822">
        <f>7-3.75*tbl_School_Multi[[#This Row],[Actual/Predicted Water w/o RW]]</f>
        <v>7</v>
      </c>
      <c r="HH6" s="822">
        <f>MAX(MIN(ROUNDDOWN(tbl_School_Multi[[#This Row],[Water Star Decimal with RW]]*2,0)/2,6),0)</f>
        <v>6</v>
      </c>
      <c r="HI6" s="822">
        <f>MAX(MIN(ROUNDDOWN(tbl_School_Multi[[#This Row],[Water Star Decimal w/o RW]]*2,0)/2,6),0)</f>
        <v>6</v>
      </c>
    </row>
    <row r="12" spans="1:217" ht="16.5" customHeight="1">
      <c r="G12" s="36"/>
    </row>
  </sheetData>
  <sheetProtection selectLockedCells="1"/>
  <phoneticPr fontId="45" type="noConversion"/>
  <dataValidations disablePrompts="1" count="1">
    <dataValidation type="decimal" allowBlank="1" showInputMessage="1" showErrorMessage="1" sqref="X65211:X65212 X130747:X130748 X196283:X196284 X261819:X261820 X327355:X327356 X392891:X392892 X458427:X458428 X523963:X523964 X589499:X589500 X655035:X655036 X720571:X720572 X786107:X786108 X851643:X851644 X917179:X917180 X982715:X982716" xr:uid="{80936E79-F583-4991-AEB2-4D7CFB6FC0C1}">
      <formula1>0</formula1>
      <formula2>6</formula2>
    </dataValidation>
  </dataValidations>
  <pageMargins left="0.42" right="0.44" top="0.56000000000000005" bottom="0.6" header="0.34" footer="0.4"/>
  <pageSetup paperSize="9" orientation="portrait" blackAndWhite="1" r:id="rId1"/>
  <headerFooter alignWithMargins="0">
    <oddFooter>&amp;R&amp;D</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D250-E5BE-4182-9418-10FF2B0AAD4B}">
  <sheetPr codeName="Sheet3"/>
  <dimension ref="A1:HI6"/>
  <sheetViews>
    <sheetView topLeftCell="AD1" zoomScaleNormal="100" workbookViewId="0">
      <pane ySplit="3" topLeftCell="A4" activePane="bottomLeft" state="frozen"/>
      <selection pane="bottomLeft" activeCell="AD4" sqref="AD4"/>
      <selection activeCell="E12" sqref="E12"/>
    </sheetView>
  </sheetViews>
  <sheetFormatPr defaultColWidth="9.28515625" defaultRowHeight="16.5" customHeight="1"/>
  <cols>
    <col min="1" max="1" width="19.28515625" style="36" customWidth="1"/>
    <col min="2" max="2" width="14" style="36" customWidth="1"/>
    <col min="3" max="3" width="11.28515625" style="36" customWidth="1"/>
    <col min="4" max="4" width="9.28515625" style="36"/>
    <col min="5" max="6" width="18.5703125" style="36" customWidth="1"/>
    <col min="7" max="7" width="20.7109375" style="36" customWidth="1"/>
    <col min="8" max="8" width="12.28515625" style="36" customWidth="1"/>
    <col min="9" max="9" width="9.28515625" style="36" bestFit="1" customWidth="1"/>
    <col min="10" max="13" width="18.7109375" style="36" customWidth="1"/>
    <col min="14" max="17" width="12.28515625" style="36" customWidth="1"/>
    <col min="18" max="19" width="12.5703125" style="70" customWidth="1"/>
    <col min="20" max="22" width="19.28515625" style="36" customWidth="1"/>
    <col min="23" max="24" width="17.7109375" style="36" customWidth="1"/>
    <col min="25" max="25" width="11.5703125" style="36" customWidth="1"/>
    <col min="26" max="26" width="15.7109375" style="36" customWidth="1"/>
    <col min="27" max="27" width="11.85546875" style="36" customWidth="1"/>
    <col min="28" max="29" width="22.28515625" style="36" customWidth="1"/>
    <col min="30" max="31" width="17.7109375" style="36" customWidth="1"/>
    <col min="32" max="33" width="12.28515625" style="36" customWidth="1"/>
    <col min="34" max="34" width="12.28515625" style="70" customWidth="1"/>
    <col min="35" max="35" width="13.28515625" style="70" customWidth="1"/>
    <col min="36" max="37" width="12.28515625" style="70" customWidth="1"/>
    <col min="38" max="38" width="9.28515625" style="70"/>
    <col min="39" max="48" width="9.28515625" style="70" bestFit="1" customWidth="1"/>
    <col min="49" max="51" width="9.28515625" style="36" customWidth="1"/>
    <col min="52" max="52" width="9.28515625" style="36" bestFit="1" customWidth="1"/>
    <col min="53" max="57" width="9.28515625" style="36" customWidth="1"/>
    <col min="58" max="59" width="10.28515625" style="36" customWidth="1"/>
    <col min="60" max="61" width="9.28515625" style="36" bestFit="1" customWidth="1"/>
    <col min="62" max="67" width="9.28515625" style="70" bestFit="1" customWidth="1"/>
    <col min="68" max="71" width="9.28515625" style="36" bestFit="1" customWidth="1"/>
    <col min="72" max="72" width="10.85546875" style="36" customWidth="1"/>
    <col min="73" max="74" width="12.28515625" style="36" customWidth="1"/>
    <col min="75" max="75" width="12.7109375" style="36" customWidth="1"/>
    <col min="76" max="76" width="12.28515625" style="36" customWidth="1"/>
    <col min="77" max="80" width="12.7109375" style="36" customWidth="1"/>
    <col min="81" max="86" width="9.28515625" style="70" bestFit="1" customWidth="1"/>
    <col min="87" max="88" width="13" style="70" customWidth="1"/>
    <col min="89" max="91" width="9.28515625" style="70" bestFit="1" customWidth="1"/>
    <col min="92" max="92" width="10.5703125" style="70" bestFit="1" customWidth="1"/>
    <col min="93" max="93" width="10.5703125" style="70" customWidth="1"/>
    <col min="94" max="94" width="9.28515625" style="70" bestFit="1" customWidth="1"/>
    <col min="95" max="95" width="10.5703125" style="70" bestFit="1" customWidth="1"/>
    <col min="96" max="102" width="9.28515625" style="70" bestFit="1" customWidth="1"/>
    <col min="103" max="103" width="9.28515625" style="70" customWidth="1"/>
    <col min="104" max="105" width="12.7109375" style="70" customWidth="1"/>
    <col min="106" max="109" width="12.7109375" style="36" customWidth="1"/>
    <col min="110" max="123" width="12.7109375" style="70" customWidth="1"/>
    <col min="124" max="140" width="12.7109375" style="36" customWidth="1"/>
    <col min="141" max="144" width="12.7109375" style="70" customWidth="1"/>
    <col min="145" max="193" width="12.7109375" style="36" customWidth="1"/>
    <col min="194" max="197" width="12.7109375" style="70" customWidth="1"/>
    <col min="198" max="199" width="12.7109375" style="36" customWidth="1"/>
    <col min="200" max="200" width="10.28515625" style="36" bestFit="1" customWidth="1"/>
    <col min="201" max="205" width="11.28515625" style="36" bestFit="1" customWidth="1"/>
    <col min="206" max="206" width="9.28515625" style="70" bestFit="1" customWidth="1"/>
    <col min="207" max="208" width="10.28515625" style="36" customWidth="1"/>
    <col min="209" max="211" width="9.28515625" style="70" bestFit="1" customWidth="1"/>
    <col min="212" max="212" width="10.28515625" style="36" customWidth="1"/>
    <col min="213" max="213" width="9.28515625" style="36" bestFit="1" customWidth="1"/>
    <col min="214" max="215" width="10.28515625" style="36" customWidth="1"/>
    <col min="216" max="217" width="9.28515625" style="36" bestFit="1" customWidth="1"/>
    <col min="218" max="221" width="9.28515625" style="36"/>
    <col min="222" max="222" width="11" style="36" customWidth="1"/>
    <col min="223" max="16384" width="9.28515625" style="36"/>
  </cols>
  <sheetData>
    <row r="1" spans="1:217" ht="16.5" customHeight="1">
      <c r="A1" s="201" t="s">
        <v>94</v>
      </c>
      <c r="B1" s="196"/>
      <c r="C1" s="201" t="s">
        <v>1007</v>
      </c>
      <c r="D1" s="195"/>
      <c r="E1" s="195"/>
      <c r="F1" s="195"/>
      <c r="G1" s="195"/>
      <c r="H1" s="195"/>
      <c r="I1" s="195"/>
      <c r="J1" s="195"/>
      <c r="K1" s="195"/>
      <c r="L1" s="195"/>
      <c r="M1" s="195"/>
      <c r="N1" s="196"/>
      <c r="O1" s="210" t="s">
        <v>96</v>
      </c>
      <c r="P1" s="195"/>
      <c r="Q1" s="195"/>
      <c r="R1" s="204" t="s">
        <v>97</v>
      </c>
      <c r="S1" s="205"/>
      <c r="T1" s="205"/>
      <c r="U1" s="205"/>
      <c r="V1" s="205"/>
      <c r="W1" s="205"/>
      <c r="X1" s="205"/>
      <c r="Y1" s="205"/>
      <c r="Z1" s="205"/>
      <c r="AA1" s="205"/>
      <c r="AB1" s="206" t="s">
        <v>491</v>
      </c>
      <c r="AC1" s="531"/>
      <c r="AD1" s="383"/>
      <c r="AE1" s="203"/>
      <c r="AF1" s="124" t="s">
        <v>492</v>
      </c>
      <c r="AG1" s="122"/>
      <c r="AH1" s="123"/>
      <c r="AI1" s="125"/>
      <c r="AJ1" s="121" t="s">
        <v>99</v>
      </c>
      <c r="AK1" s="125"/>
      <c r="AL1" s="290" t="s">
        <v>493</v>
      </c>
      <c r="AM1" s="174"/>
      <c r="AN1" s="174"/>
      <c r="AO1" s="174"/>
      <c r="AP1" s="174"/>
      <c r="AQ1" s="292"/>
      <c r="AR1" s="207" t="s">
        <v>102</v>
      </c>
      <c r="AS1" s="251"/>
      <c r="AT1" s="251"/>
      <c r="AU1" s="252" t="s">
        <v>103</v>
      </c>
      <c r="AV1" s="251"/>
      <c r="AW1" s="251"/>
      <c r="AX1" s="251"/>
      <c r="AY1" s="198"/>
      <c r="AZ1" s="207" t="s">
        <v>104</v>
      </c>
      <c r="BA1" s="251"/>
      <c r="BB1" s="251"/>
      <c r="BC1" s="251"/>
      <c r="BD1" s="251"/>
      <c r="BE1" s="198"/>
      <c r="BF1" s="118" t="s">
        <v>105</v>
      </c>
      <c r="BG1" s="117"/>
      <c r="BH1" s="117"/>
      <c r="BI1" s="117"/>
      <c r="BJ1" s="119"/>
      <c r="BK1" s="117"/>
      <c r="BL1" s="117"/>
      <c r="BM1" s="117"/>
      <c r="BN1" s="117"/>
      <c r="BO1" s="117"/>
      <c r="BP1" s="117"/>
      <c r="BQ1" s="117"/>
      <c r="BR1" s="117"/>
      <c r="BS1" s="117"/>
      <c r="BT1" s="117"/>
      <c r="BU1" s="117"/>
      <c r="BV1" s="116"/>
      <c r="BW1" s="118" t="s">
        <v>106</v>
      </c>
      <c r="BX1" s="117"/>
      <c r="BY1" s="119"/>
      <c r="BZ1" s="143"/>
      <c r="CA1" s="117"/>
      <c r="CB1" s="117"/>
      <c r="CC1" s="117"/>
      <c r="CD1" s="117"/>
      <c r="CE1" s="117"/>
      <c r="CF1" s="117"/>
      <c r="CG1" s="117"/>
      <c r="CH1" s="116"/>
      <c r="CI1" s="118" t="s">
        <v>494</v>
      </c>
      <c r="CJ1" s="117"/>
      <c r="CK1" s="117"/>
      <c r="CL1" s="117"/>
      <c r="CM1" s="117"/>
      <c r="CN1" s="117"/>
      <c r="CO1" s="117"/>
      <c r="CP1" s="117"/>
      <c r="CQ1" s="117"/>
      <c r="CR1" s="117"/>
      <c r="CS1" s="117"/>
      <c r="CT1" s="116"/>
      <c r="CU1" s="118" t="s">
        <v>108</v>
      </c>
      <c r="CV1" s="117"/>
      <c r="CW1" s="117"/>
      <c r="CX1" s="117"/>
      <c r="CY1" s="174"/>
      <c r="CZ1" s="207" t="s">
        <v>1008</v>
      </c>
      <c r="DA1" s="251"/>
      <c r="DB1" s="251"/>
      <c r="DC1" s="251"/>
      <c r="DD1" s="251"/>
      <c r="DE1" s="251"/>
      <c r="DF1" s="251"/>
      <c r="DG1" s="251"/>
      <c r="DH1" s="251"/>
      <c r="DI1" s="251"/>
      <c r="DJ1" s="251"/>
      <c r="DK1" s="251"/>
      <c r="DL1" s="207" t="s">
        <v>496</v>
      </c>
      <c r="DM1" s="251"/>
      <c r="DN1" s="251"/>
      <c r="DO1" s="251"/>
      <c r="DP1" s="251"/>
      <c r="DQ1" s="251"/>
      <c r="DR1" s="251"/>
      <c r="DS1" s="251"/>
      <c r="DT1" s="251"/>
      <c r="DU1" s="251"/>
      <c r="DV1" s="251"/>
      <c r="DW1" s="251"/>
      <c r="DX1" s="197"/>
      <c r="DY1" s="251"/>
      <c r="DZ1" s="251"/>
      <c r="EA1" s="251"/>
      <c r="EB1" s="251"/>
      <c r="EC1" s="251"/>
      <c r="ED1" s="251"/>
      <c r="EE1" s="251"/>
      <c r="EF1" s="251"/>
      <c r="EG1" s="251"/>
      <c r="EH1" s="251"/>
      <c r="EI1" s="251"/>
      <c r="EJ1" s="197"/>
      <c r="EK1" s="251"/>
      <c r="EL1" s="251"/>
      <c r="EM1" s="251"/>
      <c r="EN1" s="251"/>
      <c r="EO1" s="251"/>
      <c r="EP1" s="251"/>
      <c r="EQ1" s="251"/>
      <c r="ER1" s="251"/>
      <c r="ES1" s="251"/>
      <c r="ET1" s="251"/>
      <c r="EU1" s="251"/>
      <c r="EV1" s="197"/>
      <c r="EW1" s="251"/>
      <c r="EX1" s="251"/>
      <c r="EY1" s="251"/>
      <c r="EZ1" s="251"/>
      <c r="FA1" s="251"/>
      <c r="FB1" s="251"/>
      <c r="FC1" s="251"/>
      <c r="FD1" s="251"/>
      <c r="FE1" s="251"/>
      <c r="FF1" s="251"/>
      <c r="FG1" s="251"/>
      <c r="FH1" s="197"/>
      <c r="FI1" s="251"/>
      <c r="FJ1" s="251"/>
      <c r="FK1" s="251"/>
      <c r="FL1" s="251"/>
      <c r="FM1" s="251"/>
      <c r="FN1" s="251"/>
      <c r="FO1" s="251"/>
      <c r="FP1" s="251"/>
      <c r="FQ1" s="251"/>
      <c r="FR1" s="251"/>
      <c r="FS1" s="251"/>
      <c r="FT1" s="197"/>
      <c r="FU1" s="251"/>
      <c r="FV1" s="251"/>
      <c r="FW1" s="251"/>
      <c r="FX1" s="251"/>
      <c r="FY1" s="251"/>
      <c r="FZ1" s="251"/>
      <c r="GA1" s="251"/>
      <c r="GB1" s="251"/>
      <c r="GC1" s="251"/>
      <c r="GD1" s="251"/>
      <c r="GE1" s="198"/>
      <c r="GF1" s="208" t="s">
        <v>497</v>
      </c>
      <c r="GG1" s="174"/>
      <c r="GH1" s="174"/>
      <c r="GI1" s="174"/>
      <c r="GJ1" s="174"/>
      <c r="GK1" s="174"/>
      <c r="GL1" s="174"/>
      <c r="GM1" s="174"/>
      <c r="GN1" s="174"/>
      <c r="GO1" s="174"/>
      <c r="GP1" s="292"/>
      <c r="GQ1" s="174"/>
      <c r="GR1" s="118" t="s">
        <v>111</v>
      </c>
      <c r="GS1" s="119"/>
      <c r="GT1" s="209"/>
      <c r="GU1" s="119"/>
      <c r="GV1" s="117"/>
      <c r="GW1" s="117"/>
      <c r="GX1" s="117"/>
      <c r="GY1" s="117"/>
      <c r="GZ1" s="117"/>
      <c r="HA1" s="117"/>
      <c r="HB1" s="118" t="s">
        <v>112</v>
      </c>
      <c r="HC1" s="117"/>
      <c r="HD1" s="117"/>
      <c r="HE1" s="117"/>
      <c r="HF1" s="117"/>
      <c r="HG1" s="119"/>
      <c r="HH1" s="117"/>
      <c r="HI1" s="116"/>
    </row>
    <row r="2" spans="1:217" ht="80.45" customHeight="1">
      <c r="C2" s="253" t="s">
        <v>25</v>
      </c>
      <c r="D2" s="253" t="s">
        <v>1009</v>
      </c>
      <c r="E2" s="253" t="s">
        <v>1010</v>
      </c>
      <c r="F2" s="253" t="s">
        <v>1011</v>
      </c>
      <c r="G2" s="253" t="s">
        <v>1012</v>
      </c>
      <c r="H2" s="253" t="s">
        <v>1013</v>
      </c>
      <c r="I2" s="253" t="s">
        <v>1014</v>
      </c>
      <c r="J2" s="253" t="s">
        <v>1015</v>
      </c>
      <c r="K2" s="253" t="s">
        <v>508</v>
      </c>
      <c r="L2" s="253" t="s">
        <v>507</v>
      </c>
      <c r="M2" s="253" t="s">
        <v>1016</v>
      </c>
      <c r="N2" s="253" t="s">
        <v>1017</v>
      </c>
      <c r="O2" s="185" t="s">
        <v>116</v>
      </c>
      <c r="P2" s="259" t="s">
        <v>117</v>
      </c>
      <c r="Q2" s="260" t="s">
        <v>118</v>
      </c>
      <c r="R2" s="36"/>
      <c r="S2" s="36"/>
      <c r="AF2" s="253" t="s">
        <v>60</v>
      </c>
      <c r="AG2" s="253" t="s">
        <v>61</v>
      </c>
      <c r="AH2" s="253" t="s">
        <v>62</v>
      </c>
      <c r="AI2" s="253" t="s">
        <v>119</v>
      </c>
      <c r="AJ2" s="254" t="s">
        <v>120</v>
      </c>
      <c r="AK2" s="214" t="s">
        <v>121</v>
      </c>
      <c r="AL2" s="227" t="s">
        <v>122</v>
      </c>
      <c r="AM2" s="228" t="s">
        <v>123</v>
      </c>
      <c r="AN2" s="228" t="s">
        <v>124</v>
      </c>
      <c r="AO2" s="228" t="s">
        <v>125</v>
      </c>
      <c r="AP2" s="228" t="s">
        <v>1018</v>
      </c>
      <c r="AQ2" s="229" t="s">
        <v>1019</v>
      </c>
      <c r="AR2" s="250" t="s">
        <v>126</v>
      </c>
      <c r="AS2" s="230" t="s">
        <v>127</v>
      </c>
      <c r="AT2" s="230" t="s">
        <v>128</v>
      </c>
      <c r="AU2" s="230" t="s">
        <v>129</v>
      </c>
      <c r="AV2" s="230" t="s">
        <v>130</v>
      </c>
      <c r="AW2" s="230" t="s">
        <v>131</v>
      </c>
      <c r="AX2" s="230" t="s">
        <v>132</v>
      </c>
      <c r="AY2" s="231" t="s">
        <v>133</v>
      </c>
      <c r="AZ2" s="250" t="s">
        <v>134</v>
      </c>
      <c r="BA2" s="230" t="s">
        <v>135</v>
      </c>
      <c r="BB2" s="230" t="s">
        <v>136</v>
      </c>
      <c r="BC2" s="230" t="s">
        <v>137</v>
      </c>
      <c r="BD2" s="230" t="s">
        <v>138</v>
      </c>
      <c r="BE2" s="231" t="s">
        <v>139</v>
      </c>
      <c r="BF2" s="153" t="s">
        <v>754</v>
      </c>
      <c r="BG2" s="153" t="s">
        <v>755</v>
      </c>
      <c r="BH2" s="153" t="s">
        <v>1020</v>
      </c>
      <c r="BI2" s="153" t="s">
        <v>1021</v>
      </c>
      <c r="BJ2" s="153" t="s">
        <v>1022</v>
      </c>
      <c r="BK2" s="153" t="s">
        <v>1023</v>
      </c>
      <c r="BL2" s="153" t="s">
        <v>1024</v>
      </c>
      <c r="BM2" s="153" t="s">
        <v>1025</v>
      </c>
      <c r="BN2" s="153" t="s">
        <v>1026</v>
      </c>
      <c r="BO2" s="153" t="s">
        <v>1027</v>
      </c>
      <c r="BP2" s="153" t="s">
        <v>1028</v>
      </c>
      <c r="BQ2" s="153" t="s">
        <v>1029</v>
      </c>
      <c r="BR2" s="153" t="s">
        <v>1030</v>
      </c>
      <c r="BS2" s="153" t="s">
        <v>1031</v>
      </c>
      <c r="BT2" s="153" t="s">
        <v>1032</v>
      </c>
      <c r="BU2" s="153" t="s">
        <v>1033</v>
      </c>
      <c r="BV2" s="153" t="s">
        <v>1034</v>
      </c>
      <c r="BW2" s="40" t="s">
        <v>1035</v>
      </c>
      <c r="BX2" s="40" t="s">
        <v>1036</v>
      </c>
      <c r="BY2" s="40" t="s">
        <v>1037</v>
      </c>
      <c r="BZ2" s="39" t="s">
        <v>1038</v>
      </c>
      <c r="CA2" s="40" t="s">
        <v>1039</v>
      </c>
      <c r="CB2" s="40" t="s">
        <v>1040</v>
      </c>
      <c r="CC2" s="40" t="s">
        <v>1041</v>
      </c>
      <c r="CD2" s="40" t="s">
        <v>1042</v>
      </c>
      <c r="CE2" s="40" t="s">
        <v>1043</v>
      </c>
      <c r="CF2" s="40" t="s">
        <v>1044</v>
      </c>
      <c r="CG2" s="40" t="s">
        <v>1045</v>
      </c>
      <c r="CH2" s="40" t="s">
        <v>1046</v>
      </c>
      <c r="CI2" s="232" t="s">
        <v>530</v>
      </c>
      <c r="CJ2" s="233" t="s">
        <v>1047</v>
      </c>
      <c r="CK2" s="233"/>
      <c r="CL2" s="233"/>
      <c r="CM2" s="233"/>
      <c r="CN2" s="233"/>
      <c r="CO2" s="233"/>
      <c r="CP2" s="233"/>
      <c r="CQ2" s="233"/>
      <c r="CR2" s="233"/>
      <c r="CS2" s="233"/>
      <c r="CT2" s="234"/>
      <c r="CU2" s="187" t="s">
        <v>1048</v>
      </c>
      <c r="CV2" s="175" t="s">
        <v>1049</v>
      </c>
      <c r="CW2" s="235"/>
      <c r="CX2" s="235"/>
      <c r="CY2" s="235"/>
      <c r="CZ2" s="282" t="s">
        <v>531</v>
      </c>
      <c r="DA2" s="283" t="s">
        <v>532</v>
      </c>
      <c r="DB2" s="283" t="s">
        <v>533</v>
      </c>
      <c r="DC2" s="283" t="s">
        <v>534</v>
      </c>
      <c r="DD2" s="283" t="s">
        <v>535</v>
      </c>
      <c r="DE2" s="283" t="s">
        <v>536</v>
      </c>
      <c r="DF2" s="283" t="s">
        <v>537</v>
      </c>
      <c r="DG2" s="283" t="s">
        <v>538</v>
      </c>
      <c r="DH2" s="283" t="s">
        <v>539</v>
      </c>
      <c r="DI2" s="283" t="s">
        <v>540</v>
      </c>
      <c r="DJ2" s="283" t="s">
        <v>541</v>
      </c>
      <c r="DK2" s="283" t="s">
        <v>542</v>
      </c>
      <c r="DL2" s="241" t="s">
        <v>179</v>
      </c>
      <c r="DM2" s="242" t="s">
        <v>180</v>
      </c>
      <c r="DN2" s="242" t="s">
        <v>181</v>
      </c>
      <c r="DO2" s="242" t="s">
        <v>182</v>
      </c>
      <c r="DP2" s="242" t="s">
        <v>183</v>
      </c>
      <c r="DQ2" s="242" t="s">
        <v>184</v>
      </c>
      <c r="DR2" s="242" t="s">
        <v>185</v>
      </c>
      <c r="DS2" s="242" t="s">
        <v>186</v>
      </c>
      <c r="DT2" s="242" t="s">
        <v>187</v>
      </c>
      <c r="DU2" s="242" t="s">
        <v>188</v>
      </c>
      <c r="DV2" s="242" t="s">
        <v>189</v>
      </c>
      <c r="DW2" s="242" t="s">
        <v>190</v>
      </c>
      <c r="DX2" s="241" t="s">
        <v>191</v>
      </c>
      <c r="DY2" s="242" t="s">
        <v>192</v>
      </c>
      <c r="DZ2" s="242" t="s">
        <v>193</v>
      </c>
      <c r="EA2" s="242" t="s">
        <v>194</v>
      </c>
      <c r="EB2" s="242" t="s">
        <v>195</v>
      </c>
      <c r="EC2" s="242" t="s">
        <v>196</v>
      </c>
      <c r="ED2" s="242" t="s">
        <v>197</v>
      </c>
      <c r="EE2" s="242" t="s">
        <v>198</v>
      </c>
      <c r="EF2" s="242" t="s">
        <v>199</v>
      </c>
      <c r="EG2" s="242" t="s">
        <v>200</v>
      </c>
      <c r="EH2" s="242" t="s">
        <v>201</v>
      </c>
      <c r="EI2" s="242" t="s">
        <v>202</v>
      </c>
      <c r="EJ2" s="241" t="s">
        <v>203</v>
      </c>
      <c r="EK2" s="242" t="s">
        <v>204</v>
      </c>
      <c r="EL2" s="242" t="s">
        <v>205</v>
      </c>
      <c r="EM2" s="242" t="s">
        <v>206</v>
      </c>
      <c r="EN2" s="242" t="s">
        <v>207</v>
      </c>
      <c r="EO2" s="242" t="s">
        <v>208</v>
      </c>
      <c r="EP2" s="242" t="s">
        <v>209</v>
      </c>
      <c r="EQ2" s="242" t="s">
        <v>210</v>
      </c>
      <c r="ER2" s="242" t="s">
        <v>211</v>
      </c>
      <c r="ES2" s="242" t="s">
        <v>212</v>
      </c>
      <c r="ET2" s="242" t="s">
        <v>213</v>
      </c>
      <c r="EU2" s="242" t="s">
        <v>214</v>
      </c>
      <c r="EV2" s="241" t="s">
        <v>215</v>
      </c>
      <c r="EW2" s="242" t="s">
        <v>216</v>
      </c>
      <c r="EX2" s="242" t="s">
        <v>217</v>
      </c>
      <c r="EY2" s="242" t="s">
        <v>218</v>
      </c>
      <c r="EZ2" s="242" t="s">
        <v>219</v>
      </c>
      <c r="FA2" s="242" t="s">
        <v>220</v>
      </c>
      <c r="FB2" s="242" t="s">
        <v>221</v>
      </c>
      <c r="FC2" s="242" t="s">
        <v>222</v>
      </c>
      <c r="FD2" s="242" t="s">
        <v>223</v>
      </c>
      <c r="FE2" s="242" t="s">
        <v>224</v>
      </c>
      <c r="FF2" s="242" t="s">
        <v>225</v>
      </c>
      <c r="FG2" s="242" t="s">
        <v>226</v>
      </c>
      <c r="FH2" s="241" t="s">
        <v>227</v>
      </c>
      <c r="FI2" s="242" t="s">
        <v>228</v>
      </c>
      <c r="FJ2" s="242" t="s">
        <v>229</v>
      </c>
      <c r="FK2" s="242" t="s">
        <v>230</v>
      </c>
      <c r="FL2" s="242" t="s">
        <v>231</v>
      </c>
      <c r="FM2" s="242" t="s">
        <v>232</v>
      </c>
      <c r="FN2" s="242" t="s">
        <v>233</v>
      </c>
      <c r="FO2" s="242" t="s">
        <v>234</v>
      </c>
      <c r="FP2" s="242" t="s">
        <v>235</v>
      </c>
      <c r="FQ2" s="242" t="s">
        <v>236</v>
      </c>
      <c r="FR2" s="242" t="s">
        <v>237</v>
      </c>
      <c r="FS2" s="242" t="s">
        <v>238</v>
      </c>
      <c r="FT2" s="232" t="s">
        <v>239</v>
      </c>
      <c r="FU2" s="233" t="s">
        <v>240</v>
      </c>
      <c r="FV2" s="233" t="s">
        <v>241</v>
      </c>
      <c r="FW2" s="233" t="s">
        <v>242</v>
      </c>
      <c r="FX2" s="233" t="s">
        <v>243</v>
      </c>
      <c r="FY2" s="233" t="s">
        <v>244</v>
      </c>
      <c r="FZ2" s="233" t="s">
        <v>245</v>
      </c>
      <c r="GA2" s="233" t="s">
        <v>246</v>
      </c>
      <c r="GB2" s="233" t="s">
        <v>247</v>
      </c>
      <c r="GC2" s="233" t="s">
        <v>248</v>
      </c>
      <c r="GD2" s="233" t="s">
        <v>249</v>
      </c>
      <c r="GE2" s="233" t="s">
        <v>250</v>
      </c>
      <c r="GF2" s="149" t="s">
        <v>287</v>
      </c>
      <c r="GG2" s="147" t="s">
        <v>288</v>
      </c>
      <c r="GH2" s="147" t="s">
        <v>289</v>
      </c>
      <c r="GI2" s="147" t="s">
        <v>290</v>
      </c>
      <c r="GJ2" s="147" t="s">
        <v>291</v>
      </c>
      <c r="GK2" s="147" t="s">
        <v>292</v>
      </c>
      <c r="GL2" s="147" t="s">
        <v>293</v>
      </c>
      <c r="GM2" s="147" t="s">
        <v>294</v>
      </c>
      <c r="GN2" s="147" t="s">
        <v>295</v>
      </c>
      <c r="GO2" s="147" t="s">
        <v>296</v>
      </c>
      <c r="GP2" s="147" t="s">
        <v>297</v>
      </c>
      <c r="GQ2" s="148" t="s">
        <v>298</v>
      </c>
      <c r="GR2" s="225" t="s">
        <v>299</v>
      </c>
      <c r="GS2" s="226" t="s">
        <v>300</v>
      </c>
      <c r="GT2" s="224" t="s">
        <v>555</v>
      </c>
      <c r="GU2" s="225" t="s">
        <v>556</v>
      </c>
      <c r="GV2" s="225" t="s">
        <v>557</v>
      </c>
      <c r="GW2" s="226" t="s">
        <v>558</v>
      </c>
      <c r="GX2" s="153" t="s">
        <v>559</v>
      </c>
      <c r="GY2" s="153" t="s">
        <v>560</v>
      </c>
      <c r="GZ2" s="153" t="s">
        <v>561</v>
      </c>
      <c r="HA2" s="153" t="s">
        <v>562</v>
      </c>
      <c r="HB2" s="149" t="s">
        <v>563</v>
      </c>
      <c r="HC2" s="148" t="s">
        <v>564</v>
      </c>
      <c r="HD2" s="149" t="s">
        <v>565</v>
      </c>
      <c r="HE2" s="148" t="s">
        <v>566</v>
      </c>
      <c r="HF2" s="147"/>
      <c r="HG2" s="147"/>
      <c r="HH2" s="147"/>
      <c r="HI2" s="148"/>
    </row>
    <row r="3" spans="1:217" ht="80.45" customHeight="1">
      <c r="A3" s="212" t="s">
        <v>314</v>
      </c>
      <c r="B3" s="188" t="s">
        <v>315</v>
      </c>
      <c r="C3" s="215" t="s">
        <v>316</v>
      </c>
      <c r="D3" s="255" t="s">
        <v>1050</v>
      </c>
      <c r="E3" s="255" t="s">
        <v>1051</v>
      </c>
      <c r="F3" s="255" t="s">
        <v>1052</v>
      </c>
      <c r="G3" s="255" t="s">
        <v>1053</v>
      </c>
      <c r="H3" s="255" t="s">
        <v>1054</v>
      </c>
      <c r="I3" s="255" t="s">
        <v>1055</v>
      </c>
      <c r="J3" s="255" t="s">
        <v>1056</v>
      </c>
      <c r="K3" s="255" t="s">
        <v>576</v>
      </c>
      <c r="L3" s="255" t="s">
        <v>575</v>
      </c>
      <c r="M3" s="255" t="s">
        <v>1057</v>
      </c>
      <c r="N3" s="255" t="s">
        <v>1058</v>
      </c>
      <c r="O3" s="150" t="s">
        <v>116</v>
      </c>
      <c r="P3" s="256" t="s">
        <v>117</v>
      </c>
      <c r="Q3" s="261" t="s">
        <v>118</v>
      </c>
      <c r="R3" s="188" t="s">
        <v>581</v>
      </c>
      <c r="S3" s="188" t="s">
        <v>474</v>
      </c>
      <c r="T3" s="188" t="s">
        <v>35</v>
      </c>
      <c r="U3" s="188" t="s">
        <v>41</v>
      </c>
      <c r="V3" s="188" t="s">
        <v>43</v>
      </c>
      <c r="W3" s="188" t="s">
        <v>37</v>
      </c>
      <c r="X3" s="188" t="s">
        <v>39</v>
      </c>
      <c r="Y3" s="188" t="s">
        <v>47</v>
      </c>
      <c r="Z3" s="188" t="s">
        <v>50</v>
      </c>
      <c r="AA3" s="188" t="s">
        <v>53</v>
      </c>
      <c r="AB3" s="188" t="s">
        <v>582</v>
      </c>
      <c r="AC3" s="188" t="s">
        <v>480</v>
      </c>
      <c r="AD3" s="188" t="s">
        <v>55</v>
      </c>
      <c r="AE3" s="188" t="s">
        <v>57</v>
      </c>
      <c r="AF3" s="255" t="s">
        <v>321</v>
      </c>
      <c r="AG3" s="255" t="s">
        <v>322</v>
      </c>
      <c r="AH3" s="255" t="s">
        <v>323</v>
      </c>
      <c r="AI3" s="255" t="s">
        <v>324</v>
      </c>
      <c r="AJ3" s="151" t="s">
        <v>325</v>
      </c>
      <c r="AK3" s="152" t="s">
        <v>326</v>
      </c>
      <c r="AL3" s="236" t="s">
        <v>327</v>
      </c>
      <c r="AM3" s="237" t="s">
        <v>328</v>
      </c>
      <c r="AN3" s="237" t="s">
        <v>124</v>
      </c>
      <c r="AO3" s="237" t="s">
        <v>125</v>
      </c>
      <c r="AP3" s="237" t="s">
        <v>1059</v>
      </c>
      <c r="AQ3" s="238" t="s">
        <v>1060</v>
      </c>
      <c r="AR3" s="257" t="s">
        <v>332</v>
      </c>
      <c r="AS3" s="239" t="s">
        <v>333</v>
      </c>
      <c r="AT3" s="239" t="s">
        <v>334</v>
      </c>
      <c r="AU3" s="239" t="s">
        <v>335</v>
      </c>
      <c r="AV3" s="239" t="s">
        <v>336</v>
      </c>
      <c r="AW3" s="239" t="s">
        <v>337</v>
      </c>
      <c r="AX3" s="239" t="s">
        <v>338</v>
      </c>
      <c r="AY3" s="240" t="s">
        <v>583</v>
      </c>
      <c r="AZ3" s="257" t="s">
        <v>340</v>
      </c>
      <c r="BA3" s="239" t="s">
        <v>341</v>
      </c>
      <c r="BB3" s="239" t="s">
        <v>342</v>
      </c>
      <c r="BC3" s="239" t="s">
        <v>343</v>
      </c>
      <c r="BD3" s="239" t="s">
        <v>344</v>
      </c>
      <c r="BE3" s="240" t="s">
        <v>345</v>
      </c>
      <c r="BF3" s="220" t="s">
        <v>1061</v>
      </c>
      <c r="BG3" s="220" t="s">
        <v>1062</v>
      </c>
      <c r="BH3" s="220" t="s">
        <v>584</v>
      </c>
      <c r="BI3" s="220" t="s">
        <v>1063</v>
      </c>
      <c r="BJ3" s="220" t="s">
        <v>1022</v>
      </c>
      <c r="BK3" s="220" t="s">
        <v>1064</v>
      </c>
      <c r="BL3" s="220" t="s">
        <v>1024</v>
      </c>
      <c r="BM3" s="220" t="s">
        <v>1025</v>
      </c>
      <c r="BN3" s="220" t="s">
        <v>1026</v>
      </c>
      <c r="BO3" s="220" t="s">
        <v>1027</v>
      </c>
      <c r="BP3" s="220" t="s">
        <v>1028</v>
      </c>
      <c r="BQ3" s="220" t="s">
        <v>1029</v>
      </c>
      <c r="BR3" s="220" t="s">
        <v>1030</v>
      </c>
      <c r="BS3" s="220" t="s">
        <v>1031</v>
      </c>
      <c r="BT3" s="220" t="s">
        <v>1032</v>
      </c>
      <c r="BU3" s="220" t="s">
        <v>1033</v>
      </c>
      <c r="BV3" s="220" t="s">
        <v>1034</v>
      </c>
      <c r="BW3" s="145" t="s">
        <v>596</v>
      </c>
      <c r="BX3" s="145" t="s">
        <v>1065</v>
      </c>
      <c r="BY3" s="145" t="s">
        <v>1037</v>
      </c>
      <c r="BZ3" s="145" t="s">
        <v>1038</v>
      </c>
      <c r="CA3" s="145" t="s">
        <v>1039</v>
      </c>
      <c r="CB3" s="145" t="s">
        <v>1040</v>
      </c>
      <c r="CC3" s="145" t="s">
        <v>1041</v>
      </c>
      <c r="CD3" s="145" t="s">
        <v>1042</v>
      </c>
      <c r="CE3" s="145" t="s">
        <v>1043</v>
      </c>
      <c r="CF3" s="145" t="s">
        <v>1044</v>
      </c>
      <c r="CG3" s="145" t="s">
        <v>1045</v>
      </c>
      <c r="CH3" s="145" t="s">
        <v>1046</v>
      </c>
      <c r="CI3" s="241" t="s">
        <v>615</v>
      </c>
      <c r="CJ3" s="242" t="s">
        <v>1066</v>
      </c>
      <c r="CK3" s="242" t="s">
        <v>616</v>
      </c>
      <c r="CL3" s="242" t="s">
        <v>617</v>
      </c>
      <c r="CM3" s="242" t="s">
        <v>372</v>
      </c>
      <c r="CN3" s="242" t="s">
        <v>373</v>
      </c>
      <c r="CO3" s="242" t="s">
        <v>374</v>
      </c>
      <c r="CP3" s="242" t="s">
        <v>375</v>
      </c>
      <c r="CQ3" s="242" t="s">
        <v>376</v>
      </c>
      <c r="CR3" s="242" t="s">
        <v>377</v>
      </c>
      <c r="CS3" s="242" t="s">
        <v>378</v>
      </c>
      <c r="CT3" s="243" t="s">
        <v>379</v>
      </c>
      <c r="CU3" s="244" t="s">
        <v>618</v>
      </c>
      <c r="CV3" s="245" t="s">
        <v>1067</v>
      </c>
      <c r="CW3" s="245" t="s">
        <v>619</v>
      </c>
      <c r="CX3" s="245" t="s">
        <v>620</v>
      </c>
      <c r="CY3" s="364" t="s">
        <v>621</v>
      </c>
      <c r="CZ3" s="371" t="s">
        <v>622</v>
      </c>
      <c r="DA3" s="370" t="s">
        <v>623</v>
      </c>
      <c r="DB3" s="370" t="s">
        <v>624</v>
      </c>
      <c r="DC3" s="370" t="s">
        <v>625</v>
      </c>
      <c r="DD3" s="370" t="s">
        <v>626</v>
      </c>
      <c r="DE3" s="370" t="s">
        <v>627</v>
      </c>
      <c r="DF3" s="370" t="s">
        <v>628</v>
      </c>
      <c r="DG3" s="370" t="s">
        <v>629</v>
      </c>
      <c r="DH3" s="370" t="s">
        <v>630</v>
      </c>
      <c r="DI3" s="370" t="s">
        <v>631</v>
      </c>
      <c r="DJ3" s="370" t="s">
        <v>632</v>
      </c>
      <c r="DK3" s="370" t="s">
        <v>633</v>
      </c>
      <c r="DL3" s="367" t="s">
        <v>634</v>
      </c>
      <c r="DM3" s="366" t="s">
        <v>635</v>
      </c>
      <c r="DN3" s="366" t="s">
        <v>636</v>
      </c>
      <c r="DO3" s="366" t="s">
        <v>637</v>
      </c>
      <c r="DP3" s="366" t="s">
        <v>638</v>
      </c>
      <c r="DQ3" s="366" t="s">
        <v>639</v>
      </c>
      <c r="DR3" s="366" t="s">
        <v>640</v>
      </c>
      <c r="DS3" s="366" t="s">
        <v>641</v>
      </c>
      <c r="DT3" s="366" t="s">
        <v>642</v>
      </c>
      <c r="DU3" s="366" t="s">
        <v>643</v>
      </c>
      <c r="DV3" s="366" t="s">
        <v>644</v>
      </c>
      <c r="DW3" s="366" t="s">
        <v>645</v>
      </c>
      <c r="DX3" s="367" t="s">
        <v>406</v>
      </c>
      <c r="DY3" s="366" t="s">
        <v>407</v>
      </c>
      <c r="DZ3" s="366" t="s">
        <v>408</v>
      </c>
      <c r="EA3" s="366" t="s">
        <v>409</v>
      </c>
      <c r="EB3" s="366" t="s">
        <v>410</v>
      </c>
      <c r="EC3" s="366" t="s">
        <v>411</v>
      </c>
      <c r="ED3" s="366" t="s">
        <v>412</v>
      </c>
      <c r="EE3" s="366" t="s">
        <v>413</v>
      </c>
      <c r="EF3" s="366" t="s">
        <v>414</v>
      </c>
      <c r="EG3" s="366" t="s">
        <v>415</v>
      </c>
      <c r="EH3" s="366" t="s">
        <v>416</v>
      </c>
      <c r="EI3" s="366" t="s">
        <v>417</v>
      </c>
      <c r="EJ3" s="367" t="s">
        <v>203</v>
      </c>
      <c r="EK3" s="366" t="s">
        <v>204</v>
      </c>
      <c r="EL3" s="366" t="s">
        <v>205</v>
      </c>
      <c r="EM3" s="366" t="s">
        <v>206</v>
      </c>
      <c r="EN3" s="366" t="s">
        <v>207</v>
      </c>
      <c r="EO3" s="366" t="s">
        <v>208</v>
      </c>
      <c r="EP3" s="366" t="s">
        <v>209</v>
      </c>
      <c r="EQ3" s="366" t="s">
        <v>210</v>
      </c>
      <c r="ER3" s="366" t="s">
        <v>211</v>
      </c>
      <c r="ES3" s="366" t="s">
        <v>212</v>
      </c>
      <c r="ET3" s="366" t="s">
        <v>213</v>
      </c>
      <c r="EU3" s="366" t="s">
        <v>214</v>
      </c>
      <c r="EV3" s="367" t="s">
        <v>418</v>
      </c>
      <c r="EW3" s="366" t="s">
        <v>419</v>
      </c>
      <c r="EX3" s="366" t="s">
        <v>420</v>
      </c>
      <c r="EY3" s="366" t="s">
        <v>421</v>
      </c>
      <c r="EZ3" s="366" t="s">
        <v>422</v>
      </c>
      <c r="FA3" s="366" t="s">
        <v>423</v>
      </c>
      <c r="FB3" s="366" t="s">
        <v>424</v>
      </c>
      <c r="FC3" s="366" t="s">
        <v>425</v>
      </c>
      <c r="FD3" s="366" t="s">
        <v>426</v>
      </c>
      <c r="FE3" s="366" t="s">
        <v>427</v>
      </c>
      <c r="FF3" s="366" t="s">
        <v>428</v>
      </c>
      <c r="FG3" s="366" t="s">
        <v>429</v>
      </c>
      <c r="FH3" s="367" t="s">
        <v>227</v>
      </c>
      <c r="FI3" s="366" t="s">
        <v>228</v>
      </c>
      <c r="FJ3" s="366" t="s">
        <v>229</v>
      </c>
      <c r="FK3" s="366" t="s">
        <v>230</v>
      </c>
      <c r="FL3" s="366" t="s">
        <v>231</v>
      </c>
      <c r="FM3" s="366" t="s">
        <v>232</v>
      </c>
      <c r="FN3" s="366" t="s">
        <v>233</v>
      </c>
      <c r="FO3" s="366" t="s">
        <v>234</v>
      </c>
      <c r="FP3" s="366" t="s">
        <v>235</v>
      </c>
      <c r="FQ3" s="366" t="s">
        <v>236</v>
      </c>
      <c r="FR3" s="366" t="s">
        <v>237</v>
      </c>
      <c r="FS3" s="366" t="s">
        <v>238</v>
      </c>
      <c r="FT3" s="367" t="s">
        <v>239</v>
      </c>
      <c r="FU3" s="366" t="s">
        <v>240</v>
      </c>
      <c r="FV3" s="366" t="s">
        <v>241</v>
      </c>
      <c r="FW3" s="366" t="s">
        <v>242</v>
      </c>
      <c r="FX3" s="366" t="s">
        <v>243</v>
      </c>
      <c r="FY3" s="366" t="s">
        <v>244</v>
      </c>
      <c r="FZ3" s="366" t="s">
        <v>245</v>
      </c>
      <c r="GA3" s="366" t="s">
        <v>246</v>
      </c>
      <c r="GB3" s="366" t="s">
        <v>247</v>
      </c>
      <c r="GC3" s="366" t="s">
        <v>248</v>
      </c>
      <c r="GD3" s="366" t="s">
        <v>249</v>
      </c>
      <c r="GE3" s="366" t="s">
        <v>250</v>
      </c>
      <c r="GF3" s="373" t="s">
        <v>287</v>
      </c>
      <c r="GG3" s="362" t="s">
        <v>288</v>
      </c>
      <c r="GH3" s="362" t="s">
        <v>289</v>
      </c>
      <c r="GI3" s="362" t="s">
        <v>290</v>
      </c>
      <c r="GJ3" s="362" t="s">
        <v>291</v>
      </c>
      <c r="GK3" s="362" t="s">
        <v>292</v>
      </c>
      <c r="GL3" s="362" t="s">
        <v>293</v>
      </c>
      <c r="GM3" s="362" t="s">
        <v>294</v>
      </c>
      <c r="GN3" s="362" t="s">
        <v>295</v>
      </c>
      <c r="GO3" s="362" t="s">
        <v>296</v>
      </c>
      <c r="GP3" s="362" t="s">
        <v>297</v>
      </c>
      <c r="GQ3" s="374" t="s">
        <v>298</v>
      </c>
      <c r="GR3" s="220" t="s">
        <v>430</v>
      </c>
      <c r="GS3" s="221" t="s">
        <v>431</v>
      </c>
      <c r="GT3" s="219" t="s">
        <v>432</v>
      </c>
      <c r="GU3" s="220" t="s">
        <v>433</v>
      </c>
      <c r="GV3" s="220" t="s">
        <v>435</v>
      </c>
      <c r="GW3" s="221" t="s">
        <v>436</v>
      </c>
      <c r="GX3" s="220" t="s">
        <v>646</v>
      </c>
      <c r="GY3" s="220" t="s">
        <v>1068</v>
      </c>
      <c r="GZ3" s="220" t="s">
        <v>1069</v>
      </c>
      <c r="HA3" s="220" t="s">
        <v>1070</v>
      </c>
      <c r="HB3" s="144" t="s">
        <v>444</v>
      </c>
      <c r="HC3" s="146" t="s">
        <v>445</v>
      </c>
      <c r="HD3" s="144" t="s">
        <v>446</v>
      </c>
      <c r="HE3" s="146" t="s">
        <v>447</v>
      </c>
      <c r="HF3" s="145" t="s">
        <v>448</v>
      </c>
      <c r="HG3" s="145" t="s">
        <v>449</v>
      </c>
      <c r="HH3" s="145" t="s">
        <v>1071</v>
      </c>
      <c r="HI3" s="146" t="s">
        <v>1072</v>
      </c>
    </row>
    <row r="4" spans="1:217" ht="16.5" customHeight="1">
      <c r="A4" s="484">
        <f>Shopping_Centre_Target_Energy</f>
        <v>2</v>
      </c>
      <c r="B4" s="484">
        <f>Shopping_Centre_Target_Water</f>
        <v>3</v>
      </c>
      <c r="C4" s="485">
        <f>Shopping_Centre_Postcode</f>
        <v>2000</v>
      </c>
      <c r="D4" s="485" t="str">
        <f>Shopping_Centre_Floors</f>
        <v>Single Storey</v>
      </c>
      <c r="E4" s="488">
        <f>Shopping_Centre_GLAR</f>
        <v>123123</v>
      </c>
      <c r="F4" s="488">
        <f>Shopping_Centre_GLAR_Serviced</f>
        <v>12333</v>
      </c>
      <c r="G4" s="488">
        <f>Shopping_Centre_GLAR_Gym</f>
        <v>200</v>
      </c>
      <c r="H4" s="488">
        <f>Shopping_Centre_GLAR_Serviced_Gym</f>
        <v>0</v>
      </c>
      <c r="I4" s="485">
        <f>Shopping_Centre_TD</f>
        <v>340</v>
      </c>
      <c r="J4" s="485">
        <f>Shopping_Centre_HS</f>
        <v>60</v>
      </c>
      <c r="K4" s="485">
        <f>Shopping_Centre_CP_Mech</f>
        <v>111</v>
      </c>
      <c r="L4" s="485">
        <f>Shopping_Centre_CP_Natural</f>
        <v>222</v>
      </c>
      <c r="M4" s="485">
        <f>Shopping_Centre_FCS</f>
        <v>100</v>
      </c>
      <c r="N4" s="485">
        <f>Shopping_Centre_Theatrettes</f>
        <v>6</v>
      </c>
      <c r="O4" s="487">
        <f>Shopping_Centre_Elec_Percent</f>
        <v>1</v>
      </c>
      <c r="P4" s="487">
        <f>Shopping_Centre_Gas_Percent</f>
        <v>0</v>
      </c>
      <c r="Q4" s="487">
        <f>Shopping_Centre_Diesel_Percent</f>
        <v>0</v>
      </c>
      <c r="R4" s="126">
        <f>tbl_Shopping_Centre_Multi[[#This Row],[Target Max Energy BF]]</f>
        <v>132.5</v>
      </c>
      <c r="S4" s="42">
        <f>IF(tbl_Shopping_Centre_Multi[[#This Row],[GLAR]]&lt;15000,tbl_Shopping_Centre_Multi[[#This Row],[Predicted Emissions Small]],tbl_Shopping_Centre_Multi[[#This Row],[Predicted Emissions]])</f>
        <v>9927417.4827503562</v>
      </c>
      <c r="T4" s="42">
        <f>tbl_Shopping_Centre_Multi[[#This Row],[Target Max CO2]]</f>
        <v>13153828.164644223</v>
      </c>
      <c r="U4" s="42">
        <f>tbl_Shopping_Centre_Multi[[#This Row],[Target Max e]]</f>
        <v>106.83485753794353</v>
      </c>
      <c r="V4" s="378">
        <f>tbl_Shopping_Centre_Multi[[#This Row],[Target Max Energy Intensity]]</f>
        <v>427.3394301517742</v>
      </c>
      <c r="W4" s="42">
        <f>tbl_Shopping_Centre_Multi[[#This Row],[Target Scopes 1,2&amp;3]]</f>
        <v>12569213.039999999</v>
      </c>
      <c r="X4" s="42">
        <f>tbl_Shopping_Centre_Multi[[#This Row],[Target Scopes 1&amp;2]]</f>
        <v>11546137.560000001</v>
      </c>
      <c r="Y4" s="42">
        <f>tbl_Shopping_Centre_Multi[[#This Row],[Target Max Elec (kWh)]]</f>
        <v>14615364</v>
      </c>
      <c r="Z4" s="42">
        <f>tbl_Shopping_Centre_Multi[[#This Row],[Target Max Gas (MJ)]]</f>
        <v>0</v>
      </c>
      <c r="AA4" s="42">
        <f>tbl_Shopping_Centre_Multi[[#This Row],[Target Max Diesel (L)]]</f>
        <v>0</v>
      </c>
      <c r="AB4" s="126">
        <f>tbl_Shopping_Centre_Multi[[#This Row],[Target Max Water BF]]</f>
        <v>106</v>
      </c>
      <c r="AC4" s="42">
        <f>IF(tbl_Shopping_Centre_Multi[[#This Row],[GLAR]]&lt;15000,tbl_Shopping_Centre_Multi[[#This Row],[Predicted Water Small]],tbl_Shopping_Centre_Multi[[#This Row],[Predicted Water]])</f>
        <v>113337.774502</v>
      </c>
      <c r="AD4" s="42">
        <f>tbl_Shopping_Centre_Multi[[#This Row],[Target Max Water (kL)]]</f>
        <v>120138</v>
      </c>
      <c r="AE4" s="126">
        <f>tbl_Shopping_Centre_Multi[[#This Row],[Target Max Water Intensity]]</f>
        <v>0.97575628413960036</v>
      </c>
      <c r="AF4" s="285">
        <f>Shopping_Centre_Elec_FWD</f>
        <v>8000000</v>
      </c>
      <c r="AG4" s="285">
        <f>Shopping_Centre_Gas_FWD</f>
        <v>80000000</v>
      </c>
      <c r="AH4" s="285">
        <f>Shopping_Centre_Diesel_FWD</f>
        <v>0</v>
      </c>
      <c r="AI4" s="43">
        <f>Shopping_Centre_GreenPower_Percent_FWD</f>
        <v>0.5</v>
      </c>
      <c r="AJ4" s="285">
        <f>Shopping_Centre_Water_FWD</f>
        <v>0</v>
      </c>
      <c r="AK4" s="43">
        <f>Shopping_Centre_RW_Percent_FWD</f>
        <v>0</v>
      </c>
      <c r="AL4" s="45" t="str">
        <f>INDEX(tbl_Climate_Lookup[],MATCH(tbl_Shopping_Centre_Multi[[Postcode]:[Postcode]],tbl_Climate_Lookup[[Postcode]:[Postcode]],0),MATCH(tbl_Shopping_Centre_Multi[[#Headers],[State]],tbl_Climate_Lookup[#Headers],0))</f>
        <v>NSW</v>
      </c>
      <c r="AM4" s="45">
        <f>INDEX(tbl_Climate_Lookup[],MATCH(tbl_Shopping_Centre_Multi[[Postcode]:[Postcode]],tbl_Climate_Lookup[[Postcode]:[Postcode]],0),MATCH(tbl_Shopping_Centre_Multi[[#Headers],[Climate zone]],tbl_Climate_Lookup[#Headers],0))</f>
        <v>63</v>
      </c>
      <c r="AN4" s="169">
        <f>INDEX(tbl_Climate_Lookup[],MATCH(tbl_Shopping_Centre_Multi[[Postcode]:[Postcode]],tbl_Climate_Lookup[[Postcode]:[Postcode]],0),MATCH(tbl_Shopping_Centre_Multi[[#Headers],[HDD]],tbl_Climate_Lookup[#Headers],0))</f>
        <v>642</v>
      </c>
      <c r="AO4" s="169">
        <f>INDEX(tbl_Climate_Lookup[],MATCH(tbl_Shopping_Centre_Multi[[Postcode]:[Postcode]],tbl_Climate_Lookup[[Postcode]:[Postcode]],0),MATCH(tbl_Shopping_Centre_Multi[[#Headers],[CDD]],tbl_Climate_Lookup[#Headers],0))</f>
        <v>541</v>
      </c>
      <c r="AP4" s="45" t="b">
        <f>IF(tbl_Shopping_Centre_Multi[[#This Row],[GLAR]]&lt;15000,TRUE,FALSE)</f>
        <v>0</v>
      </c>
      <c r="AQ4" s="45">
        <f>IF(tbl_Shopping_Centre_Multi[[#This Row],[Stories]]="Multi Storey", 1, 0 )</f>
        <v>0</v>
      </c>
      <c r="AR4" s="45">
        <f>INDEX(tbl_SGE_2020[],MATCH(tbl_Shopping_Centre_Multi[[State]:[State]],tbl_SGE_2020[[State]:[State]],0),MATCH(tbl_Shopping_Centre_Multi[[#Headers],[SGEe]],tbl_SGE_2020[#Headers],0))</f>
        <v>0.9</v>
      </c>
      <c r="AS4" s="45">
        <f>INDEX(tbl_SGE_2020[],MATCH(tbl_Shopping_Centre_Multi[[State]:[State]],tbl_SGE_2020[[State]:[State]],0),MATCH(tbl_Shopping_Centre_Multi[[#Headers],[SGEg]],tbl_SGE_2020[#Headers],0))</f>
        <v>6.4630000000000007E-2</v>
      </c>
      <c r="AT4" s="45">
        <f>INDEX(tbl_SGE_2020[],MATCH(tbl_Shopping_Centre_Multi[[State]:[State]],tbl_SGE_2020[[State]:[State]],0),MATCH(tbl_Shopping_Centre_Multi[[#Headers],[SGEd]],tbl_SGE_2020[#Headers],0))</f>
        <v>2.8486799999999999</v>
      </c>
      <c r="AU4" s="50">
        <f>INDEX(tbl_Conversion_Factors[[Conversion Factors]:[Conversion Factors]],MATCH(tbl_Shopping_Centre_Multi[[#Headers],[CFelec]],tbl_Conversion_Factors[[Reference]:[Reference]],0))</f>
        <v>3.6</v>
      </c>
      <c r="AV4" s="50">
        <f>INDEX(tbl_Conversion_Factors[[Conversion Factors]:[Conversion Factors]],MATCH(tbl_Shopping_Centre_Multi[[#Headers],[CFdiesel]],tbl_Conversion_Factors[[Reference]:[Reference]],0))</f>
        <v>38.6</v>
      </c>
      <c r="AW4" s="45">
        <f>tbl_Shopping_Centre_Multi[[#This Row],[SGEe]]/tbl_Shopping_Centre_Multi[[#This Row],[CFelec]]</f>
        <v>0.25</v>
      </c>
      <c r="AX4" s="45">
        <f>tbl_Shopping_Centre_Multi[[#This Row],[SGEd]]/tbl_Shopping_Centre_Multi[[#This Row],[CFdiesel]]</f>
        <v>7.3799999999999991E-2</v>
      </c>
      <c r="AY4" s="46">
        <f>IF(SUM(tbl_Shopping_Centre_Multi[[#This Row],[Electricity (%)]:[Diesel (%)]])=1,
SUM(tbl_Shopping_Centre_Multi[[#This Row],[Electricity (%)]]*tbl_Shopping_Centre_Multi[[#This Row],[SGEeMJ]],
tbl_Shopping_Centre_Multi[[#This Row],[Gas (%)]]*tbl_Shopping_Centre_Multi[[#This Row],[SGEg]],
tbl_Shopping_Centre_Multi[[#This Row],[Diesel (%)]]*tbl_Shopping_Centre_Multi[[#This Row],[SGEdMJ]]),
0)</f>
        <v>0.25</v>
      </c>
      <c r="AZ4" s="46">
        <f>INDEX(tbl_NGA_Factors_2021[],MATCH(tbl_Shopping_Centre_Multi[[State]:[State]],tbl_NGA_Factors_2021[[State]:[State]],0),MATCH(tbl_Shopping_Centre_Multi[[#Headers],[SGEe Scopes 1,2&amp;3]],tbl_NGA_Factors_2021[#Headers],0))</f>
        <v>0.86</v>
      </c>
      <c r="BA4" s="46">
        <f>INDEX(tbl_NGA_Factors_2021[],MATCH(tbl_Shopping_Centre_Multi[[State]:[State]],tbl_NGA_Factors_2021[[State]:[State]],0),MATCH(tbl_Shopping_Centre_Multi[[#Headers],[SGEg Scopes 1,2&amp;3]],tbl_NGA_Factors_2021[#Headers],0))</f>
        <v>6.4630000000000007E-2</v>
      </c>
      <c r="BB4" s="46">
        <f>INDEX(tbl_NGA_Factors_2021[],MATCH(tbl_Shopping_Centre_Multi[[State]:[State]],tbl_NGA_Factors_2021[[State]:[State]],0),MATCH(tbl_Shopping_Centre_Multi[[#Headers],[SGEd Scopes 1,2&amp;3]],tbl_NGA_Factors_2021[#Headers],0))</f>
        <v>2.8486799999999999</v>
      </c>
      <c r="BC4" s="46">
        <f>INDEX(tbl_NGA_Factors_2021[],MATCH(tbl_Shopping_Centre_Multi[[State]:[State]],tbl_NGA_Factors_2021[[State]:[State]],0),MATCH(tbl_Shopping_Centre_Multi[[#Headers],[SGEe Scopes 1&amp;2]],tbl_NGA_Factors_2021[#Headers],0))</f>
        <v>0.79</v>
      </c>
      <c r="BD4" s="46">
        <f>INDEX(tbl_NGA_Factors_2021[],MATCH(tbl_Shopping_Centre_Multi[[State]:[State]],tbl_NGA_Factors_2021[[State]:[State]],0),MATCH(tbl_Shopping_Centre_Multi[[#Headers],[SGEg Scopes 1&amp;2]],tbl_NGA_Factors_2021[#Headers],0))</f>
        <v>5.1529999999999999E-2</v>
      </c>
      <c r="BE4" s="46">
        <f>INDEX(tbl_NGA_Factors_2021[],MATCH(tbl_Shopping_Centre_Multi[[State]:[State]],tbl_NGA_Factors_2021[[State]:[State]],0),MATCH(tbl_Shopping_Centre_Multi[[#Headers],[SGEd Scopes 1&amp;2]],tbl_NGA_Factors_2021[#Headers],0))</f>
        <v>2.7097199999999999</v>
      </c>
      <c r="BF4" s="45">
        <f>(Shopping_Centre_C_E_Large_Gas*tbl_Shopping_Centre_Multi[[#This Row],[HDD]]*tbl_Shopping_Centre_Multi[[#This Row],[GLARserviced]]*tbl_Shopping_Centre_Multi[[#This Row],[HS]]*tbl_Shopping_Centre_Multi[[#This Row],[SGEg]])/(tbl_Shopping_Centre_Multi[[#This Row],[GLAR]]*Shopping_Centre_C_E_Large_General_Hrs_Ave)</f>
        <v>0.4821217405755221</v>
      </c>
      <c r="BG4" s="45">
        <f>SUM(Shopping_Centre_C_E_Large_General_Intercept,tbl_Shopping_Centre_Multi[[#This Row],[23.45*Floors]],tbl_Shopping_Centre_Multi[[#This Row],[0.101*CDD*GLARserviced*HS/(GLAR*60)]],tbl_Shopping_Centre_Multi[[#This Row],[0.000438*GLAR*TD/357.2]],tbl_Shopping_Centre_Multi[[#This Row],[944*CPmv/GLAR]],tbl_Shopping_Centre_Multi[[#This Row],[204*CPnv/GLAR]])*tbl_Shopping_Centre_Multi[[#This Row],[SGEe]]</f>
        <v>80.147959420136587</v>
      </c>
      <c r="BH4" s="45">
        <f>SUM(tbl_Shopping_Centre_Multi[[#This Row],[Ggas]],tbl_Shopping_Centre_Multi[[#This Row],[Ggeneral]])</f>
        <v>80.630081160712109</v>
      </c>
      <c r="BI4" s="45">
        <f>SUM(Shopping_Centre_C_E_Small_Intercept,tbl_Shopping_Centre_Multi[[#This Row],[0.105*HS/60.25]],tbl_Shopping_Centre_Multi[[#This Row],[35.54*TD/359.56]],tbl_Shopping_Centre_Multi[[#This Row],[64.08*Floors]],tbl_Shopping_Centre_Multi[[#This Row],[7.90*GLARserviced/GLAR]],tbl_Shopping_Centre_Multi[[#This Row],[150.52*CPmv/GLAR]],tbl_Shopping_Centre_Multi[[#This Row],[100.35*CPnv/GLAR]],tbl_Shopping_Centre_Multi[[#This Row],[420.87*FCS/GLAR]],tbl_Shopping_Centre_Multi[[#This Row],[1868.87*GLARservicedGym/GLAR]])*tbl_Shopping_Centre_Multi[[#This Row],[SGEe]]</f>
        <v>32.094890751845213</v>
      </c>
      <c r="BJ4" s="45">
        <f>Shopping_Centre_C_E_Large_General_Floors*tbl_Shopping_Centre_Multi[[#This Row],[Floors]]</f>
        <v>0</v>
      </c>
      <c r="BK4" s="45">
        <f>(Shopping_Centre_C_E_Large_General_CDD*tbl_Shopping_Centre_Multi[[#This Row],[CDD]]*tbl_Shopping_Centre_Multi[[#This Row],[GLARserviced]]*tbl_Shopping_Centre_Multi[[#This Row],[HS]])/(tbl_Shopping_Centre_Multi[[#This Row],[GLAR]]*Shopping_Centre_C_E_Large_General_Hrs_Ave)</f>
        <v>5.473286493993812</v>
      </c>
      <c r="BL4" s="45">
        <f>(Shopping_Centre_C_E_Large_General_TD*tbl_Shopping_Centre_Multi[[#This Row],[GLAR]]*tbl_Shopping_Centre_Multi[[#This Row],[TD]])/Shopping_Centre_C_E_Large_General_TD_Ave</f>
        <v>51.331123068309076</v>
      </c>
      <c r="BM4" s="45">
        <f>(Shopping_Centre_C_E_Large_General_CP_Mech*tbl_Shopping_Centre_Multi[[#This Row],[CPMV]])/tbl_Shopping_Centre_Multi[[#This Row],[GLAR]]</f>
        <v>0.85105138763675348</v>
      </c>
      <c r="BN4" s="45">
        <f>(Shopping_Centre_C_E_Large_General_CP_Nat*tbl_Shopping_Centre_Multi[[#This Row],[CPNV]])/tbl_Shopping_Centre_Multi[[#This Row],[GLAR]]</f>
        <v>0.36782729465656294</v>
      </c>
      <c r="BO4" s="45">
        <f>Shopping_Centre_C_E_Small_Hrs*tbl_Shopping_Centre_Multi[[#This Row],[HS]]/Shopping_Centre_C_E_Small_Hrs_Ave</f>
        <v>0.1045643153526971</v>
      </c>
      <c r="BP4" s="45">
        <f>Shopping_Centre_C_E_Small_TD*tbl_Shopping_Centre_Multi[[#This Row],[TD]]/Shopping_Centre_C_E_Small_TD_Ave</f>
        <v>33.606630325953944</v>
      </c>
      <c r="BQ4" s="45">
        <f>Shopping_Centre_C_E_Small_Floors*tbl_Shopping_Centre_Multi[[#This Row],[Floors]]</f>
        <v>0</v>
      </c>
      <c r="BR4" s="45">
        <f>Shopping_Centre_C_E_Small_GLAR_Serviced*tbl_Shopping_Centre_Multi[[#This Row],[GLARserviced]]/tbl_Shopping_Centre_Multi[[#This Row],[GLAR]]</f>
        <v>0.79132818401111094</v>
      </c>
      <c r="BS4" s="45">
        <f>Shopping_Centre_C_E_Small_CP_Mech*tbl_Shopping_Centre_Multi[[#This Row],[CPMV]]/tbl_Shopping_Centre_Multi[[#This Row],[GLAR]]</f>
        <v>0.13569942252869083</v>
      </c>
      <c r="BT4" s="45">
        <f>Shopping_Centre_C_E_Small_CP_Natural*tbl_Shopping_Centre_Multi[[#This Row],[CPNV]]/tbl_Shopping_Centre_Multi[[#This Row],[GLAR]]</f>
        <v>0.18093857362150043</v>
      </c>
      <c r="BU4" s="45">
        <f>Shopping_Centre_C_E_Small_FCS*tbl_Shopping_Centre_Multi[[#This Row],[FCS]]/tbl_Shopping_Centre_Multi[[#This Row],[GLAR]]</f>
        <v>0.34182890280451256</v>
      </c>
      <c r="BV4" s="45">
        <f>Shopping_Centre_C_E_Small_GLAR_Serviced_Gym*tbl_Shopping_Centre_Multi[[#This Row],[GLARservicedGym]]/tbl_Shopping_Centre_Multi[[#This Row],[GLAR]]</f>
        <v>0</v>
      </c>
      <c r="BW4" s="36">
        <f>SUM(Shopping_Centre_C_W_Large_Intercept,tbl_Shopping_Centre_Multi[[#This Row],[0.000314*CDD]],SUM(tbl_Shopping_Centre_Multi[[#This Row],[5.93*GLARgym]],tbl_Shopping_Centre_Multi[[#This Row],[18.9*FCS]],tbl_Shopping_Centre_Multi[[#This Row],[814*Theatrettes]])/tbl_Shopping_Centre_Multi[[#This Row],[GLAR]])</f>
        <v>0.92052479635811346</v>
      </c>
      <c r="BX4" s="36">
        <f>SUM(Shopping_Centre_C_W_Small_Intercept,tbl_Shopping_Centre_Multi[[#This Row],[0.0000148*TD]],tbl_Shopping_Centre_Multi[[#This Row],[0.01082*HS]],tbl_Shopping_Centre_Multi[[#This Row],[0.0000399*CDD]],tbl_Shopping_Centre_Multi[[#This Row],[0.000019*GLAR]],SUM(tbl_Shopping_Centre_Multi[[#This Row],[5.42*GLARgym]],tbl_Shopping_Centre_Multi[[#This Row],[6.23*FCS]],tbl_Shopping_Centre_Multi[[#This Row],[814*Theatrettes]])/tbl_Shopping_Centre_Multi[[#This Row],[GLAR]])</f>
        <v>3.0718667340196388</v>
      </c>
      <c r="BY4" s="36">
        <f>Shopping_Centre_C_W_Large_CDD*tbl_Shopping_Centre_Multi[[#This Row],[CDD]]</f>
        <v>0.169874</v>
      </c>
      <c r="BZ4" s="38">
        <f>Shopping_Centre_C_W_Large_GLARgym*tbl_Shopping_Centre_Multi[[#This Row],[GLARgym]]</f>
        <v>1186</v>
      </c>
      <c r="CA4" s="36">
        <f>Shopping_Centre_C_W_Large_FCS*tbl_Shopping_Centre_Multi[[#This Row],[FCS]]</f>
        <v>1889.9999999999998</v>
      </c>
      <c r="CB4" s="36">
        <f>Shopping_Centre_C_W_Shared_Theatrettes*tbl_Shopping_Centre_Multi[[#This Row],[Theatrettes]]</f>
        <v>4884</v>
      </c>
      <c r="CC4" s="36">
        <f>Shopping_Centre_C_W_Small_TD*tbl_Shopping_Centre_Multi[[#This Row],[TD]]</f>
        <v>5.032E-3</v>
      </c>
      <c r="CD4" s="36">
        <f>Shopping_Centre_C_W_Small_Hrs*tbl_Shopping_Centre_Multi[[#This Row],[HS]]</f>
        <v>0.6492</v>
      </c>
      <c r="CE4" s="36">
        <f>Shopping_Centre_C_W_Small_CDD*tbl_Shopping_Centre_Multi[[#This Row],[CDD]]</f>
        <v>2.1585900000000002E-2</v>
      </c>
      <c r="CF4" s="36">
        <f>Shopping_Centre_C_W_Small_GLAR*tbl_Shopping_Centre_Multi[[#This Row],[GLAR]]</f>
        <v>2.339337</v>
      </c>
      <c r="CG4" s="36">
        <f>Shopping_Centre_C_W_Small_GLAR_gym*tbl_Shopping_Centre_Multi[[#This Row],[GLARgym]]</f>
        <v>1084</v>
      </c>
      <c r="CH4" s="36">
        <f>Shopping_Centre_C_W_Small_FCS*tbl_Shopping_Centre_Multi[[#This Row],[FCS]]</f>
        <v>623</v>
      </c>
      <c r="CI4" s="44">
        <f>tbl_Shopping_Centre_Multi[[#This Row],[er]]*tbl_Shopping_Centre_Multi[[#This Row],[GLAR]]</f>
        <v>9927417.4827503562</v>
      </c>
      <c r="CJ4" s="44">
        <f>tbl_Shopping_Centre_Multi[[#This Row],[ersmall]]*tbl_Shopping_Centre_Multi[[#This Row],[GLAR]]</f>
        <v>3951619.234039438</v>
      </c>
      <c r="CK4" s="44">
        <f>(tbl_Shopping_Centre_Multi[[#This Row],[Target Energy]]-7)/(-6/159)</f>
        <v>132.5</v>
      </c>
      <c r="CL4" s="44">
        <f>tbl_Shopping_Centre_Multi[[#This Row],[Target Max Energy BF]]/100*IF(tbl_Shopping_Centre_Multi[[#This Row],[Small]],tbl_Shopping_Centre_Multi[ersmall],tbl_Shopping_Centre_Multi[[#This Row],[er]])</f>
        <v>106.83485753794353</v>
      </c>
      <c r="CM4" s="44">
        <f>tbl_Shopping_Centre_Multi[[#This Row],[Target Max e]]*tbl_Shopping_Centre_Multi[[#This Row],[GLAR]]</f>
        <v>13153828.164644223</v>
      </c>
      <c r="CN4" s="44">
        <f>tbl_Shopping_Centre_Multi[[#This Row],[Target Max CO2]]/tbl_Shopping_Centre_Multi[[#This Row],[EffGHG]]</f>
        <v>52615312.658576891</v>
      </c>
      <c r="CO4" s="44">
        <f>tbl_Shopping_Centre_Multi[[#This Row],[Target Max Energy (MJ)]]/tbl_Shopping_Centre_Multi[[#This Row],[GLAR]]</f>
        <v>427.3394301517742</v>
      </c>
      <c r="CP4" s="44">
        <f>ROUNDDOWN(tbl_Shopping_Centre_Multi[[#This Row],[Target Max Energy (MJ)]]*tbl_Shopping_Centre_Multi[[#This Row],[Electricity (%)]]/tbl_Shopping_Centre_Multi[[#This Row],[CFelec]],0)</f>
        <v>14615364</v>
      </c>
      <c r="CQ4" s="44">
        <f>ROUNDDOWN(tbl_Shopping_Centre_Multi[[#This Row],[Target Max Energy (MJ)]]*tbl_Shopping_Centre_Multi[[#This Row],[Gas (%)]],0)</f>
        <v>0</v>
      </c>
      <c r="CR4" s="44">
        <f>ROUNDDOWN(tbl_Shopping_Centre_Multi[[#This Row],[Target Max Energy (MJ)]]*tbl_Shopping_Centre_Multi[[#This Row],[Diesel (%)]]/tbl_Shopping_Centre_Multi[[#This Row],[CFdiesel]],0)</f>
        <v>0</v>
      </c>
      <c r="CS4" s="44">
        <f>SUM(tbl_Shopping_Centre_Multi[[#This Row],[Target Max Elec (kWh)]]*tbl_Shopping_Centre_Multi[[#This Row],[SGEe Scopes 1,2&amp;3]],
tbl_Shopping_Centre_Multi[[#This Row],[Target Max Gas (MJ)]]*tbl_Shopping_Centre_Multi[[#This Row],[SGEg Scopes 1,2&amp;3]],
tbl_Shopping_Centre_Multi[[#This Row],[Target Max Diesel (L)]]*tbl_Shopping_Centre_Multi[[#This Row],[SGEd Scopes 1,2&amp;3]])</f>
        <v>12569213.039999999</v>
      </c>
      <c r="CT4" s="44">
        <f>SUM(tbl_Shopping_Centre_Multi[[#This Row],[Target Max Elec (kWh)]]*tbl_Shopping_Centre_Multi[[#This Row],[SGEe Scopes 1&amp;2]],
tbl_Shopping_Centre_Multi[[#This Row],[Target Max Gas (MJ)]]*tbl_Shopping_Centre_Multi[[#This Row],[SGEg Scopes 1&amp;2]],
tbl_Shopping_Centre_Multi[[#This Row],[Target Max Diesel (L)]]*tbl_Shopping_Centre_Multi[[#This Row],[SGEd Scopes 1&amp;2]])</f>
        <v>11546137.560000001</v>
      </c>
      <c r="CU4" s="47">
        <f>tbl_Shopping_Centre_Multi[[#This Row],[wr]]*tbl_Shopping_Centre_Multi[[#This Row],[GLAR]]</f>
        <v>113337.774502</v>
      </c>
      <c r="CV4" s="47">
        <f>tbl_Shopping_Centre_Multi[[#This Row],[wrsmall]]*tbl_Shopping_Centre_Multi[[#This Row],[GLAR]]</f>
        <v>378217.44789269997</v>
      </c>
      <c r="CW4" s="36">
        <f>(tbl_Shopping_Centre_Multi[[#This Row],[Target Water]]-7)/(-6/159)</f>
        <v>106</v>
      </c>
      <c r="CX4" s="44">
        <f>ROUNDDOWN(tbl_Shopping_Centre_Multi[[#This Row],[Target Max Water BF]]/100*IF(tbl_Shopping_Centre_Multi[[#This Row],[Small]],tbl_Shopping_Centre_Multi[[#This Row],[wrsmall]],tbl_Shopping_Centre_Multi[[#This Row],[wr]])*tbl_Shopping_Centre_Multi[[#This Row],[GLAR]],0)</f>
        <v>120138</v>
      </c>
      <c r="CY4" s="48">
        <f>tbl_Shopping_Centre_Multi[[#This Row],[Target Max Water BF]]/100*IF(tbl_Shopping_Centre_Multi[[#This Row],[Small]],tbl_Shopping_Centre_Multi[[#This Row],[wrsmall]],tbl_Shopping_Centre_Multi[[#This Row],[wr]])</f>
        <v>0.97575628413960036</v>
      </c>
      <c r="CZ4" s="36">
        <f>(LEFT(tbl_Shopping_Centre_Multi[[#Headers],[6.0* Max BF]],3)-7)/(-6/159)</f>
        <v>26.5</v>
      </c>
      <c r="DA4" s="36">
        <f>(LEFT(tbl_Shopping_Centre_Multi[[#Headers],[5.5* Max BF]],3)-7)/(-6/159)</f>
        <v>39.75</v>
      </c>
      <c r="DB4" s="36">
        <f>(LEFT(tbl_Shopping_Centre_Multi[[#Headers],[5.0* Max BF]],3)-7)/(-6/159)</f>
        <v>53</v>
      </c>
      <c r="DC4" s="36">
        <f>(LEFT(tbl_Shopping_Centre_Multi[[#Headers],[4.5* Max BF]],3)-7)/(-6/159)</f>
        <v>66.25</v>
      </c>
      <c r="DD4" s="36">
        <f>(LEFT(tbl_Shopping_Centre_Multi[[#Headers],[4.0* Max BF]],3)-7)/(-6/159)</f>
        <v>79.5</v>
      </c>
      <c r="DE4" s="36">
        <f>(LEFT(tbl_Shopping_Centre_Multi[[#Headers],[3.5* Max BF]],3)-7)/(-6/159)</f>
        <v>92.75</v>
      </c>
      <c r="DF4" s="36">
        <f>(LEFT(tbl_Shopping_Centre_Multi[[#Headers],[3.0* Max BF]],3)-7)/(-6/159)</f>
        <v>106</v>
      </c>
      <c r="DG4" s="36">
        <f>(LEFT(tbl_Shopping_Centre_Multi[[#Headers],[2.5* Max BF]],3)-7)/(-6/159)</f>
        <v>119.25</v>
      </c>
      <c r="DH4" s="36">
        <f>(LEFT(tbl_Shopping_Centre_Multi[[#Headers],[2.0* Max BF]],3)-7)/(-6/159)</f>
        <v>132.5</v>
      </c>
      <c r="DI4" s="36">
        <f>(LEFT(tbl_Shopping_Centre_Multi[[#Headers],[1.5* Max BF]],3)-7)/(-6/159)</f>
        <v>145.75</v>
      </c>
      <c r="DJ4" s="36">
        <f>(LEFT(tbl_Shopping_Centre_Multi[[#Headers],[1.0* Max BF]],3)-7)/(-6/159)</f>
        <v>159</v>
      </c>
      <c r="DK4" s="36">
        <f>(LEFT(tbl_Shopping_Centre_Multi[[#Headers],[0.0* Max BF]],3)-7)/(-6/159)</f>
        <v>185.5</v>
      </c>
      <c r="DL4" s="36">
        <f>tbl_Shopping_Centre_Multi[[#This Row],[6.0* Max BF]]/100*IF(tbl_Shopping_Centre_Multi[[Small]:[Small]],tbl_Shopping_Centre_Multi[[ersmall]:[ersmall]],tbl_Shopping_Centre_Multi[[er]:[er]])</f>
        <v>21.366971507588708</v>
      </c>
      <c r="DM4" s="36">
        <f>tbl_Shopping_Centre_Multi[[#This Row],[5.5* Max BF]]/100*IF(tbl_Shopping_Centre_Multi[[Small]:[Small]],tbl_Shopping_Centre_Multi[[ersmall]:[ersmall]],tbl_Shopping_Centre_Multi[[er]:[er]])</f>
        <v>32.050457261383066</v>
      </c>
      <c r="DN4" s="36">
        <f>tbl_Shopping_Centre_Multi[[#This Row],[5.0* Max BF]]/100*IF(tbl_Shopping_Centre_Multi[[Small]:[Small]],tbl_Shopping_Centre_Multi[[ersmall]:[ersmall]],tbl_Shopping_Centre_Multi[[er]:[er]])</f>
        <v>42.733943015177417</v>
      </c>
      <c r="DO4" s="36">
        <f>tbl_Shopping_Centre_Multi[[#This Row],[4.5* Max BF]]/100*IF(tbl_Shopping_Centre_Multi[[Small]:[Small]],tbl_Shopping_Centre_Multi[[ersmall]:[ersmall]],tbl_Shopping_Centre_Multi[[er]:[er]])</f>
        <v>53.417428768971767</v>
      </c>
      <c r="DP4" s="36">
        <f>tbl_Shopping_Centre_Multi[[#This Row],[4.0* Max BF]]/100*IF(tbl_Shopping_Centre_Multi[[Small]:[Small]],tbl_Shopping_Centre_Multi[[ersmall]:[ersmall]],tbl_Shopping_Centre_Multi[[er]:[er]])</f>
        <v>64.100914522766132</v>
      </c>
      <c r="DQ4" s="36">
        <f>tbl_Shopping_Centre_Multi[[#This Row],[3.5* Max BF]]/100*IF(tbl_Shopping_Centre_Multi[[Small]:[Small]],tbl_Shopping_Centre_Multi[[ersmall]:[ersmall]],tbl_Shopping_Centre_Multi[[er]:[er]])</f>
        <v>74.784400276560476</v>
      </c>
      <c r="DR4" s="36">
        <f>tbl_Shopping_Centre_Multi[[#This Row],[3.0* Max BF]]/100*IF(tbl_Shopping_Centre_Multi[[Small]:[Small]],tbl_Shopping_Centre_Multi[[ersmall]:[ersmall]],tbl_Shopping_Centre_Multi[[er]:[er]])</f>
        <v>85.467886030354833</v>
      </c>
      <c r="DS4" s="36">
        <f>tbl_Shopping_Centre_Multi[[#This Row],[2.5* Max BF]]/100*IF(tbl_Shopping_Centre_Multi[[Small]:[Small]],tbl_Shopping_Centre_Multi[[ersmall]:[ersmall]],tbl_Shopping_Centre_Multi[[er]:[er]])</f>
        <v>96.151371784149177</v>
      </c>
      <c r="DT4" s="36">
        <f>tbl_Shopping_Centre_Multi[[#This Row],[2.0* Max BF]]/100*IF(tbl_Shopping_Centre_Multi[[Small]:[Small]],tbl_Shopping_Centre_Multi[[ersmall]:[ersmall]],tbl_Shopping_Centre_Multi[[er]:[er]])</f>
        <v>106.83485753794353</v>
      </c>
      <c r="DU4" s="36">
        <f>tbl_Shopping_Centre_Multi[[#This Row],[1.5* Max BF]]/100*IF(tbl_Shopping_Centre_Multi[[Small]:[Small]],tbl_Shopping_Centre_Multi[[ersmall]:[ersmall]],tbl_Shopping_Centre_Multi[[er]:[er]])</f>
        <v>117.51834329173791</v>
      </c>
      <c r="DV4" s="36">
        <f>tbl_Shopping_Centre_Multi[[#This Row],[1.0* Max BF]]/100*IF(tbl_Shopping_Centre_Multi[[Small]:[Small]],tbl_Shopping_Centre_Multi[[ersmall]:[ersmall]],tbl_Shopping_Centre_Multi[[er]:[er]])</f>
        <v>128.20182904553226</v>
      </c>
      <c r="DW4" s="36">
        <f>tbl_Shopping_Centre_Multi[[#This Row],[0.0* Max BF]]/100*IF(tbl_Shopping_Centre_Multi[[Small]:[Small]],tbl_Shopping_Centre_Multi[[ersmall]:[ersmall]],tbl_Shopping_Centre_Multi[[er]:[er]])</f>
        <v>149.56880055312095</v>
      </c>
      <c r="DX4" s="44">
        <f>tbl_Shopping_Centre_Multi[[#This Row],[6.0* Max e]]*tbl_Shopping_Centre_Multi[[GLAR]:[GLAR]]</f>
        <v>2630765.6329288445</v>
      </c>
      <c r="DY4" s="44">
        <f>tbl_Shopping_Centre_Multi[[#This Row],[5.5* Max e]]*tbl_Shopping_Centre_Multi[[GLAR]:[GLAR]]</f>
        <v>3946148.4493932673</v>
      </c>
      <c r="DZ4" s="44">
        <f>tbl_Shopping_Centre_Multi[[#This Row],[5.0* Max e]]*tbl_Shopping_Centre_Multi[[GLAR]:[GLAR]]</f>
        <v>5261531.2658576891</v>
      </c>
      <c r="EA4" s="44">
        <f>tbl_Shopping_Centre_Multi[[#This Row],[4.5* Max e]]*tbl_Shopping_Centre_Multi[[GLAR]:[GLAR]]</f>
        <v>6576914.0823221114</v>
      </c>
      <c r="EB4" s="44">
        <f>tbl_Shopping_Centre_Multi[[#This Row],[4.0* Max e]]*tbl_Shopping_Centre_Multi[[GLAR]:[GLAR]]</f>
        <v>7892296.8987865346</v>
      </c>
      <c r="EC4" s="44">
        <f>tbl_Shopping_Centre_Multi[[#This Row],[3.5* Max e]]*tbl_Shopping_Centre_Multi[[GLAR]:[GLAR]]</f>
        <v>9207679.7152509559</v>
      </c>
      <c r="ED4" s="44">
        <f>tbl_Shopping_Centre_Multi[[#This Row],[3.0* Max e]]*tbl_Shopping_Centre_Multi[[GLAR]:[GLAR]]</f>
        <v>10523062.531715378</v>
      </c>
      <c r="EE4" s="44">
        <f>tbl_Shopping_Centre_Multi[[#This Row],[2.5* Max e]]*tbl_Shopping_Centre_Multi[[GLAR]:[GLAR]]</f>
        <v>11838445.348179799</v>
      </c>
      <c r="EF4" s="44">
        <f>tbl_Shopping_Centre_Multi[[#This Row],[2.0* Max e]]*tbl_Shopping_Centre_Multi[[GLAR]:[GLAR]]</f>
        <v>13153828.164644223</v>
      </c>
      <c r="EG4" s="44">
        <f>tbl_Shopping_Centre_Multi[[#This Row],[1.5* Max e]]*tbl_Shopping_Centre_Multi[[GLAR]:[GLAR]]</f>
        <v>14469210.981108647</v>
      </c>
      <c r="EH4" s="44">
        <f>tbl_Shopping_Centre_Multi[[#This Row],[1.0* Max e]]*tbl_Shopping_Centre_Multi[[GLAR]:[GLAR]]</f>
        <v>15784593.797573069</v>
      </c>
      <c r="EI4" s="44">
        <f>tbl_Shopping_Centre_Multi[[#This Row],[0.0* Max e]]*tbl_Shopping_Centre_Multi[[GLAR]:[GLAR]]</f>
        <v>18415359.430501912</v>
      </c>
      <c r="EJ4" s="44">
        <f>tbl_Shopping_Centre_Multi[[#This Row],[6.0* Max CO2]]/tbl_Shopping_Centre_Multi[[EffGHG]:[EffGHG]]</f>
        <v>10523062.531715378</v>
      </c>
      <c r="EK4" s="44">
        <f>tbl_Shopping_Centre_Multi[[#This Row],[5.5* Max CO2]]/tbl_Shopping_Centre_Multi[[EffGHG]:[EffGHG]]</f>
        <v>15784593.797573069</v>
      </c>
      <c r="EL4" s="44">
        <f>tbl_Shopping_Centre_Multi[[#This Row],[5.0* Max CO2]]/tbl_Shopping_Centre_Multi[[EffGHG]:[EffGHG]]</f>
        <v>21046125.063430756</v>
      </c>
      <c r="EM4" s="44">
        <f>tbl_Shopping_Centre_Multi[[#This Row],[4.5* Max CO2]]/tbl_Shopping_Centre_Multi[[EffGHG]:[EffGHG]]</f>
        <v>26307656.329288445</v>
      </c>
      <c r="EN4" s="44">
        <f>tbl_Shopping_Centre_Multi[[#This Row],[4.0* Max CO2]]/tbl_Shopping_Centre_Multi[[EffGHG]:[EffGHG]]</f>
        <v>31569187.595146138</v>
      </c>
      <c r="EO4" s="44">
        <f>tbl_Shopping_Centre_Multi[[#This Row],[3.5* Max CO2]]/tbl_Shopping_Centre_Multi[[EffGHG]:[EffGHG]]</f>
        <v>36830718.861003824</v>
      </c>
      <c r="EP4" s="44">
        <f>tbl_Shopping_Centre_Multi[[#This Row],[3.0* Max CO2]]/tbl_Shopping_Centre_Multi[[EffGHG]:[EffGHG]]</f>
        <v>42092250.126861513</v>
      </c>
      <c r="EQ4" s="44">
        <f>tbl_Shopping_Centre_Multi[[#This Row],[2.5* Max CO2]]/tbl_Shopping_Centre_Multi[[EffGHG]:[EffGHG]]</f>
        <v>47353781.392719194</v>
      </c>
      <c r="ER4" s="44">
        <f>tbl_Shopping_Centre_Multi[[#This Row],[2.0* Max CO2]]/tbl_Shopping_Centre_Multi[[EffGHG]:[EffGHG]]</f>
        <v>52615312.658576891</v>
      </c>
      <c r="ES4" s="44">
        <f>tbl_Shopping_Centre_Multi[[#This Row],[1.5* Max CO2]]/tbl_Shopping_Centre_Multi[[EffGHG]:[EffGHG]]</f>
        <v>57876843.924434587</v>
      </c>
      <c r="ET4" s="44">
        <f>tbl_Shopping_Centre_Multi[[#This Row],[1.0* Max CO2]]/tbl_Shopping_Centre_Multi[[EffGHG]:[EffGHG]]</f>
        <v>63138375.190292276</v>
      </c>
      <c r="EU4" s="44">
        <f>tbl_Shopping_Centre_Multi[[#This Row],[0.0* Max CO2]]/tbl_Shopping_Centre_Multi[[EffGHG]:[EffGHG]]</f>
        <v>73661437.722007647</v>
      </c>
      <c r="EV4" s="44">
        <f>ROUNDDOWN(tbl_Shopping_Centre_Multi[[#This Row],[6.0* Max Energy (MJ)]]*tbl_Shopping_Centre_Multi[[Electricity (%)]:[Electricity (%)]]/tbl_Shopping_Centre_Multi[[CFelec]:[CFelec]],0)</f>
        <v>2923072</v>
      </c>
      <c r="EW4" s="44">
        <f>ROUNDDOWN(tbl_Shopping_Centre_Multi[[#This Row],[5.5* Max Energy (MJ)]]*tbl_Shopping_Centre_Multi[[Electricity (%)]:[Electricity (%)]]/tbl_Shopping_Centre_Multi[[CFelec]:[CFelec]],0)</f>
        <v>4384609</v>
      </c>
      <c r="EX4" s="44">
        <f>ROUNDDOWN(tbl_Shopping_Centre_Multi[[#This Row],[5.0* Max Energy (MJ)]]*tbl_Shopping_Centre_Multi[[Electricity (%)]:[Electricity (%)]]/tbl_Shopping_Centre_Multi[[CFelec]:[CFelec]],0)</f>
        <v>5846145</v>
      </c>
      <c r="EY4" s="44">
        <f>ROUNDDOWN(tbl_Shopping_Centre_Multi[[#This Row],[4.5* Max Energy (MJ)]]*tbl_Shopping_Centre_Multi[[Electricity (%)]:[Electricity (%)]]/tbl_Shopping_Centre_Multi[[CFelec]:[CFelec]],0)</f>
        <v>7307682</v>
      </c>
      <c r="EZ4" s="44">
        <f>ROUNDDOWN(tbl_Shopping_Centre_Multi[[#This Row],[4.0* Max Energy (MJ)]]*tbl_Shopping_Centre_Multi[[Electricity (%)]:[Electricity (%)]]/tbl_Shopping_Centre_Multi[[CFelec]:[CFelec]],0)</f>
        <v>8769218</v>
      </c>
      <c r="FA4" s="44">
        <f>ROUNDDOWN(tbl_Shopping_Centre_Multi[[#This Row],[3.5* Max Energy (MJ)]]*tbl_Shopping_Centre_Multi[[Electricity (%)]:[Electricity (%)]]/tbl_Shopping_Centre_Multi[[CFelec]:[CFelec]],0)</f>
        <v>10230755</v>
      </c>
      <c r="FB4" s="44">
        <f>ROUNDDOWN(tbl_Shopping_Centre_Multi[[#This Row],[3.0* Max Energy (MJ)]]*tbl_Shopping_Centre_Multi[[Electricity (%)]:[Electricity (%)]]/tbl_Shopping_Centre_Multi[[CFelec]:[CFelec]],0)</f>
        <v>11692291</v>
      </c>
      <c r="FC4" s="44">
        <f>ROUNDDOWN(tbl_Shopping_Centre_Multi[[#This Row],[2.5* Max Energy (MJ)]]*tbl_Shopping_Centre_Multi[[Electricity (%)]:[Electricity (%)]]/tbl_Shopping_Centre_Multi[[CFelec]:[CFelec]],0)</f>
        <v>13153828</v>
      </c>
      <c r="FD4" s="44">
        <f>ROUNDDOWN(tbl_Shopping_Centre_Multi[[#This Row],[2.0* Max Energy (MJ)]]*tbl_Shopping_Centre_Multi[[Electricity (%)]:[Electricity (%)]]/tbl_Shopping_Centre_Multi[[CFelec]:[CFelec]],0)</f>
        <v>14615364</v>
      </c>
      <c r="FE4" s="44">
        <f>ROUNDDOWN(tbl_Shopping_Centre_Multi[[#This Row],[1.5* Max Energy (MJ)]]*tbl_Shopping_Centre_Multi[[Electricity (%)]:[Electricity (%)]]/tbl_Shopping_Centre_Multi[[CFelec]:[CFelec]],0)</f>
        <v>16076901</v>
      </c>
      <c r="FF4" s="44">
        <f>ROUNDDOWN(tbl_Shopping_Centre_Multi[[#This Row],[1.0* Max Energy (MJ)]]*tbl_Shopping_Centre_Multi[[Electricity (%)]:[Electricity (%)]]/tbl_Shopping_Centre_Multi[[CFelec]:[CFelec]],0)</f>
        <v>17538437</v>
      </c>
      <c r="FG4" s="44">
        <f>ROUNDDOWN(tbl_Shopping_Centre_Multi[[#This Row],[0.0* Max Energy (MJ)]]*tbl_Shopping_Centre_Multi[[Electricity (%)]:[Electricity (%)]]/tbl_Shopping_Centre_Multi[[CFelec]:[CFelec]],0)</f>
        <v>20461510</v>
      </c>
      <c r="FH4" s="44">
        <f>ROUNDDOWN(tbl_Shopping_Centre_Multi[[#This Row],[6.0* Max Energy (MJ)]]*tbl_Shopping_Centre_Multi[[Gas (%)]:[Gas (%)]],0)</f>
        <v>0</v>
      </c>
      <c r="FI4" s="44">
        <f>ROUNDDOWN(tbl_Shopping_Centre_Multi[[#This Row],[5.5* Max Energy (MJ)]]*tbl_Shopping_Centre_Multi[[Gas (%)]:[Gas (%)]],0)</f>
        <v>0</v>
      </c>
      <c r="FJ4" s="44">
        <f>ROUNDDOWN(tbl_Shopping_Centre_Multi[[#This Row],[5.0* Max Energy (MJ)]]*tbl_Shopping_Centre_Multi[[Gas (%)]:[Gas (%)]],0)</f>
        <v>0</v>
      </c>
      <c r="FK4" s="44">
        <f>ROUNDDOWN(tbl_Shopping_Centre_Multi[[#This Row],[4.5* Max Energy (MJ)]]*tbl_Shopping_Centre_Multi[[Gas (%)]:[Gas (%)]],0)</f>
        <v>0</v>
      </c>
      <c r="FL4" s="44">
        <f>ROUNDDOWN(tbl_Shopping_Centre_Multi[[#This Row],[4.0* Max Energy (MJ)]]*tbl_Shopping_Centre_Multi[[Gas (%)]:[Gas (%)]],0)</f>
        <v>0</v>
      </c>
      <c r="FM4" s="44">
        <f>ROUNDDOWN(tbl_Shopping_Centre_Multi[[#This Row],[3.5* Max Energy (MJ)]]*tbl_Shopping_Centre_Multi[[Gas (%)]:[Gas (%)]],0)</f>
        <v>0</v>
      </c>
      <c r="FN4" s="44">
        <f>ROUNDDOWN(tbl_Shopping_Centre_Multi[[#This Row],[3.0* Max Energy (MJ)]]*tbl_Shopping_Centre_Multi[[Gas (%)]:[Gas (%)]],0)</f>
        <v>0</v>
      </c>
      <c r="FO4" s="44">
        <f>ROUNDDOWN(tbl_Shopping_Centre_Multi[[#This Row],[2.5* Max Energy (MJ)]]*tbl_Shopping_Centre_Multi[[Gas (%)]:[Gas (%)]],0)</f>
        <v>0</v>
      </c>
      <c r="FP4" s="44">
        <f>ROUNDDOWN(tbl_Shopping_Centre_Multi[[#This Row],[2.0* Max Energy (MJ)]]*tbl_Shopping_Centre_Multi[[Gas (%)]:[Gas (%)]],0)</f>
        <v>0</v>
      </c>
      <c r="FQ4" s="44">
        <f>ROUNDDOWN(tbl_Shopping_Centre_Multi[[#This Row],[1.5* Max Energy (MJ)]]*tbl_Shopping_Centre_Multi[[Gas (%)]:[Gas (%)]],0)</f>
        <v>0</v>
      </c>
      <c r="FR4" s="44">
        <f>ROUNDDOWN(tbl_Shopping_Centre_Multi[[#This Row],[1.0* Max Energy (MJ)]]*tbl_Shopping_Centre_Multi[[Gas (%)]:[Gas (%)]],0)</f>
        <v>0</v>
      </c>
      <c r="FS4" s="44">
        <f>ROUNDDOWN(tbl_Shopping_Centre_Multi[[#This Row],[0.0* Max Energy (MJ)]]*tbl_Shopping_Centre_Multi[[Gas (%)]:[Gas (%)]],0)</f>
        <v>0</v>
      </c>
      <c r="FT4" s="44">
        <f>ROUNDDOWN(tbl_Shopping_Centre_Multi[[#This Row],[6.0* Max Energy (MJ)]]*tbl_Shopping_Centre_Multi[[Diesel (%)]:[Diesel (%)]]/tbl_Shopping_Centre_Multi[[CFdiesel]:[CFdiesel]],0)</f>
        <v>0</v>
      </c>
      <c r="FU4" s="44">
        <f>ROUNDDOWN(tbl_Shopping_Centre_Multi[[#This Row],[5.5* Max Energy (MJ)]]*tbl_Shopping_Centre_Multi[[Diesel (%)]:[Diesel (%)]]/tbl_Shopping_Centre_Multi[[CFdiesel]:[CFdiesel]],0)</f>
        <v>0</v>
      </c>
      <c r="FV4" s="44">
        <f>ROUNDDOWN(tbl_Shopping_Centre_Multi[[#This Row],[5.0* Max Energy (MJ)]]*tbl_Shopping_Centre_Multi[[Diesel (%)]:[Diesel (%)]]/tbl_Shopping_Centre_Multi[[CFdiesel]:[CFdiesel]],0)</f>
        <v>0</v>
      </c>
      <c r="FW4" s="44">
        <f>ROUNDDOWN(tbl_Shopping_Centre_Multi[[#This Row],[4.5* Max Energy (MJ)]]*tbl_Shopping_Centre_Multi[[Diesel (%)]:[Diesel (%)]]/tbl_Shopping_Centre_Multi[[CFdiesel]:[CFdiesel]],0)</f>
        <v>0</v>
      </c>
      <c r="FX4" s="44">
        <f>ROUNDDOWN(tbl_Shopping_Centre_Multi[[#This Row],[4.0* Max Energy (MJ)]]*tbl_Shopping_Centre_Multi[[Diesel (%)]:[Diesel (%)]]/tbl_Shopping_Centre_Multi[[CFdiesel]:[CFdiesel]],0)</f>
        <v>0</v>
      </c>
      <c r="FY4" s="44">
        <f>ROUNDDOWN(tbl_Shopping_Centre_Multi[[#This Row],[3.5* Max Energy (MJ)]]*tbl_Shopping_Centre_Multi[[Diesel (%)]:[Diesel (%)]]/tbl_Shopping_Centre_Multi[[CFdiesel]:[CFdiesel]],0)</f>
        <v>0</v>
      </c>
      <c r="FZ4" s="44">
        <f>ROUNDDOWN(tbl_Shopping_Centre_Multi[[#This Row],[3.0* Max Energy (MJ)]]*tbl_Shopping_Centre_Multi[[Diesel (%)]:[Diesel (%)]]/tbl_Shopping_Centre_Multi[[CFdiesel]:[CFdiesel]],0)</f>
        <v>0</v>
      </c>
      <c r="GA4" s="44">
        <f>ROUNDDOWN(tbl_Shopping_Centre_Multi[[#This Row],[2.5* Max Energy (MJ)]]*tbl_Shopping_Centre_Multi[[Diesel (%)]:[Diesel (%)]]/tbl_Shopping_Centre_Multi[[CFdiesel]:[CFdiesel]],0)</f>
        <v>0</v>
      </c>
      <c r="GB4" s="44">
        <f>ROUNDDOWN(tbl_Shopping_Centre_Multi[[#This Row],[2.0* Max Energy (MJ)]]*tbl_Shopping_Centre_Multi[[Diesel (%)]:[Diesel (%)]]/tbl_Shopping_Centre_Multi[[CFdiesel]:[CFdiesel]],0)</f>
        <v>0</v>
      </c>
      <c r="GC4" s="44">
        <f>ROUNDDOWN(tbl_Shopping_Centre_Multi[[#This Row],[1.5* Max Energy (MJ)]]*tbl_Shopping_Centre_Multi[[Diesel (%)]:[Diesel (%)]]/tbl_Shopping_Centre_Multi[[CFdiesel]:[CFdiesel]],0)</f>
        <v>0</v>
      </c>
      <c r="GD4" s="44">
        <f>ROUNDDOWN(tbl_Shopping_Centre_Multi[[#This Row],[1.0* Max Energy (MJ)]]*tbl_Shopping_Centre_Multi[[Diesel (%)]:[Diesel (%)]]/tbl_Shopping_Centre_Multi[[CFdiesel]:[CFdiesel]],0)</f>
        <v>0</v>
      </c>
      <c r="GE4" s="44">
        <f>ROUNDDOWN(tbl_Shopping_Centre_Multi[[#This Row],[0.0* Max Energy (MJ)]]*tbl_Shopping_Centre_Multi[[Diesel (%)]:[Diesel (%)]]/tbl_Shopping_Centre_Multi[[CFdiesel]:[CFdiesel]],0)</f>
        <v>0</v>
      </c>
      <c r="GF4" s="44">
        <f>ROUNDDOWN(tbl_Shopping_Centre_Multi[[#This Row],[6.0* Max BF]]/100*IF(tbl_Shopping_Centre_Multi[[Small]:[Small]],tbl_Shopping_Centre_Multi[[wrsmall]:[wrsmall]],tbl_Shopping_Centre_Multi[[wr]:[wr]])*tbl_Shopping_Centre_Multi[[GLAR]:[GLAR]],0)</f>
        <v>30034</v>
      </c>
      <c r="GG4" s="44">
        <f>ROUNDDOWN(tbl_Shopping_Centre_Multi[[#This Row],[5.5* Max BF]]/100*IF(tbl_Shopping_Centre_Multi[[Small]:[Small]],tbl_Shopping_Centre_Multi[[wrsmall]:[wrsmall]],tbl_Shopping_Centre_Multi[[wr]:[wr]])*tbl_Shopping_Centre_Multi[[GLAR]:[GLAR]],0)</f>
        <v>45051</v>
      </c>
      <c r="GH4" s="44">
        <f>ROUNDDOWN(tbl_Shopping_Centre_Multi[[#This Row],[5.0* Max BF]]/100*IF(tbl_Shopping_Centre_Multi[[Small]:[Small]],tbl_Shopping_Centre_Multi[[wrsmall]:[wrsmall]],tbl_Shopping_Centre_Multi[[wr]:[wr]])*tbl_Shopping_Centre_Multi[[GLAR]:[GLAR]],0)</f>
        <v>60069</v>
      </c>
      <c r="GI4" s="44">
        <f>ROUNDDOWN(tbl_Shopping_Centre_Multi[[#This Row],[4.5* Max BF]]/100*IF(tbl_Shopping_Centre_Multi[[Small]:[Small]],tbl_Shopping_Centre_Multi[[wrsmall]:[wrsmall]],tbl_Shopping_Centre_Multi[[wr]:[wr]])*tbl_Shopping_Centre_Multi[[GLAR]:[GLAR]],0)</f>
        <v>75086</v>
      </c>
      <c r="GJ4" s="44">
        <f>ROUNDDOWN(tbl_Shopping_Centre_Multi[[#This Row],[4.0* Max BF]]/100*IF(tbl_Shopping_Centre_Multi[[Small]:[Small]],tbl_Shopping_Centre_Multi[[wrsmall]:[wrsmall]],tbl_Shopping_Centre_Multi[[wr]:[wr]])*tbl_Shopping_Centre_Multi[[GLAR]:[GLAR]],0)</f>
        <v>90103</v>
      </c>
      <c r="GK4" s="44">
        <f>ROUNDDOWN(tbl_Shopping_Centre_Multi[[#This Row],[3.5* Max BF]]/100*IF(tbl_Shopping_Centre_Multi[[Small]:[Small]],tbl_Shopping_Centre_Multi[[wrsmall]:[wrsmall]],tbl_Shopping_Centre_Multi[[wr]:[wr]])*tbl_Shopping_Centre_Multi[[GLAR]:[GLAR]],0)</f>
        <v>105120</v>
      </c>
      <c r="GL4" s="44">
        <f>ROUNDDOWN(tbl_Shopping_Centre_Multi[[#This Row],[3.0* Max BF]]/100*IF(tbl_Shopping_Centre_Multi[[Small]:[Small]],tbl_Shopping_Centre_Multi[[wrsmall]:[wrsmall]],tbl_Shopping_Centre_Multi[[wr]:[wr]])*tbl_Shopping_Centre_Multi[[GLAR]:[GLAR]],0)</f>
        <v>120138</v>
      </c>
      <c r="GM4" s="44">
        <f>ROUNDDOWN(tbl_Shopping_Centre_Multi[[#This Row],[2.5* Max BF]]/100*IF(tbl_Shopping_Centre_Multi[[Small]:[Small]],tbl_Shopping_Centre_Multi[[wrsmall]:[wrsmall]],tbl_Shopping_Centre_Multi[[wr]:[wr]])*tbl_Shopping_Centre_Multi[[GLAR]:[GLAR]],0)</f>
        <v>135155</v>
      </c>
      <c r="GN4" s="44">
        <f>ROUNDDOWN(tbl_Shopping_Centre_Multi[[#This Row],[2.0* Max BF]]/100*IF(tbl_Shopping_Centre_Multi[[Small]:[Small]],tbl_Shopping_Centre_Multi[[wrsmall]:[wrsmall]],tbl_Shopping_Centre_Multi[[wr]:[wr]])*tbl_Shopping_Centre_Multi[[GLAR]:[GLAR]],0)</f>
        <v>150172</v>
      </c>
      <c r="GO4" s="44">
        <f>ROUNDDOWN(tbl_Shopping_Centre_Multi[[#This Row],[1.5* Max BF]]/100*IF(tbl_Shopping_Centre_Multi[[Small]:[Small]],tbl_Shopping_Centre_Multi[[wrsmall]:[wrsmall]],tbl_Shopping_Centre_Multi[[wr]:[wr]])*tbl_Shopping_Centre_Multi[[GLAR]:[GLAR]],0)</f>
        <v>165189</v>
      </c>
      <c r="GP4" s="44">
        <f>ROUNDDOWN(tbl_Shopping_Centre_Multi[[#This Row],[1.0* Max BF]]/100*IF(tbl_Shopping_Centre_Multi[[Small]:[Small]],tbl_Shopping_Centre_Multi[[wrsmall]:[wrsmall]],tbl_Shopping_Centre_Multi[[wr]:[wr]])*tbl_Shopping_Centre_Multi[[GLAR]:[GLAR]],0)</f>
        <v>180207</v>
      </c>
      <c r="GQ4" s="44">
        <f>ROUNDDOWN(tbl_Shopping_Centre_Multi[[#This Row],[0.0* Max BF]]/100*IF(tbl_Shopping_Centre_Multi[[Small]:[Small]],tbl_Shopping_Centre_Multi[[wrsmall]:[wrsmall]],tbl_Shopping_Centre_Multi[[wr]:[wr]])*tbl_Shopping_Centre_Multi[[GLAR]:[GLAR]],0)</f>
        <v>210241</v>
      </c>
      <c r="GR4" s="44">
        <f>SUM(tbl_Shopping_Centre_Multi[[#This Row],[Electricity]]*(1-tbl_Shopping_Centre_Multi[[#This Row],[GP]])*tbl_Shopping_Centre_Multi[[#This Row],[SGEe Scopes 1,2&amp;3]],
tbl_Shopping_Centre_Multi[[#This Row],[Gas]]*tbl_Shopping_Centre_Multi[[#This Row],[SGEg Scopes 1,2&amp;3]],
tbl_Shopping_Centre_Multi[[#This Row],[Diesel]]*tbl_Shopping_Centre_Multi[[#This Row],[SGEd Scopes 1,2&amp;3]])</f>
        <v>8610400</v>
      </c>
      <c r="GS4" s="44">
        <f>SUM(tbl_Shopping_Centre_Multi[[#This Row],[Electricity]]*(1-tbl_Shopping_Centre_Multi[[#This Row],[GP]])*tbl_Shopping_Centre_Multi[[#This Row],[SGEe Scopes 1&amp;2]],
tbl_Shopping_Centre_Multi[[#This Row],[Gas]]*tbl_Shopping_Centre_Multi[[#This Row],[SGEg Scopes 1&amp;2]],
tbl_Shopping_Centre_Multi[[#This Row],[Diesel]]*tbl_Shopping_Centre_Multi[[#This Row],[SGEd Scopes 1&amp;2]])</f>
        <v>7282400</v>
      </c>
      <c r="GT4" s="45">
        <f>IF(tbl_Shopping_Centre_Multi[[#This Row],[Energy Star Decimal (with GP)]]&lt;1,0,MIN(ROUNDDOWN(tbl_Shopping_Centre_Multi[[#This Row],[Energy Star Decimal (with GP)]]*2,0)/2,6))</f>
        <v>3.5</v>
      </c>
      <c r="GU4" s="45">
        <f>((tbl_Shopping_Centre_Multi[[#This Row],[e-BF (with GP)]]*(-6/159)+7)*2)/2</f>
        <v>3.6662176629410093</v>
      </c>
      <c r="GV4" s="45">
        <f>IF(tbl_Shopping_Centre_Multi[[#This Row],[Energy Star Decimal (no GP)]]&lt;1,0,MIN(ROUNDDOWN(tbl_Shopping_Centre_Multi[[#This Row],[Energy Star Decimal (no GP)]]*2,0)/2,6))</f>
        <v>2</v>
      </c>
      <c r="GW4" s="45">
        <f>((tbl_Shopping_Centre_Multi[[#This Row],[e-BF (no GP)]]*(-6/159)+7)*2)/2</f>
        <v>2.2977947388540381</v>
      </c>
      <c r="GX4" s="45">
        <f>SUM(tbl_Shopping_Centre_Multi[[#This Row],[Electricity]]*(1-tbl_Shopping_Centre_Multi[[#This Row],[GP]])*tbl_Shopping_Centre_Multi[[#This Row],[SGEe]],
tbl_Shopping_Centre_Multi[[#This Row],[Gas]]*tbl_Shopping_Centre_Multi[[#This Row],[SGEg]],
tbl_Shopping_Centre_Multi[[#This Row],[Diesel]]*tbl_Shopping_Centre_Multi[[#This Row],[SGEd]])
/tbl_Shopping_Centre_Multi[[#This Row],[GLAR]]</f>
        <v>71.232832208441963</v>
      </c>
      <c r="GY4" s="45">
        <f>SUM(tbl_Shopping_Centre_Multi[[#This Row],[Electricity]]*tbl_Shopping_Centre_Multi[[#This Row],[SGEe]],
tbl_Shopping_Centre_Multi[[#This Row],[Gas]]*tbl_Shopping_Centre_Multi[[#This Row],[SGEg]],
tbl_Shopping_Centre_Multi[[#This Row],[Diesel]]*tbl_Shopping_Centre_Multi[[#This Row],[SGEd]])
/tbl_Shopping_Centre_Multi[[#This Row],[GLAR]]</f>
        <v>100.47188583773949</v>
      </c>
      <c r="GZ4" s="45">
        <f>tbl_Shopping_Centre_Multi[[#This Row],[e (with GP)]]/IF(tbl_Shopping_Centre_Multi[[#This Row],[Small]]=TRUE,tbl_Shopping_Centre_Multi[[#This Row],[ersmall]],tbl_Shopping_Centre_Multi[[#This Row],[er]])*100</f>
        <v>88.345231932063257</v>
      </c>
      <c r="HA4" s="45">
        <f>tbl_Shopping_Centre_Multi[[#This Row],[e (no GP)]]/IF(tbl_Shopping_Centre_Multi[[#This Row],[Small]]=TRUE,tbl_Shopping_Centre_Multi[[#This Row],[ersmall]],tbl_Shopping_Centre_Multi[[#This Row],[er]])*100</f>
        <v>124.60843942036799</v>
      </c>
      <c r="HB4" s="45">
        <f>IF(tbl_Shopping_Centre_Multi[[#This Row],[Water Star Decimal (with recyc)]]&lt;1,0,MIN(ROUNDDOWN(tbl_Shopping_Centre_Multi[[#This Row],[Water Star Decimal (with recyc)]]*2,0)/2,6))</f>
        <v>6</v>
      </c>
      <c r="HC4" s="45">
        <f>((tbl_Shopping_Centre_Multi[[#This Row],[w-BF (with recyc)]]*(-6/159)+7)*2)/2</f>
        <v>7</v>
      </c>
      <c r="HD4" s="45">
        <f>IF(tbl_Shopping_Centre_Multi[[#This Row],[Water Star Decimal (no recyc)]]&lt;1,0,MIN(ROUNDDOWN(tbl_Shopping_Centre_Multi[[#This Row],[Water Star Decimal (no recyc)]]*2,0)/2,6))</f>
        <v>6</v>
      </c>
      <c r="HE4" s="45">
        <f>((tbl_Shopping_Centre_Multi[[#This Row],[w-BF (no recyc)]]*(-6/159)+7)*2)/2</f>
        <v>7</v>
      </c>
      <c r="HF4" s="36">
        <f>tbl_Shopping_Centre_Multi[[#This Row],[Water]]*(1-tbl_Shopping_Centre_Multi[[#This Row],[RW]])/tbl_Shopping_Centre_Multi[[#This Row],[GLAR]]</f>
        <v>0</v>
      </c>
      <c r="HG4" s="36">
        <f>tbl_Shopping_Centre_Multi[[#This Row],[Water]]/tbl_Shopping_Centre_Multi[[#This Row],[GLAR]]</f>
        <v>0</v>
      </c>
      <c r="HH4" s="36">
        <f>tbl_Shopping_Centre_Multi[[#This Row],[w (with recyc)]]/IF(tbl_Shopping_Centre_Multi[[#This Row],[Small]]=TRUE,tbl_Shopping_Centre_Multi[[#This Row],[wrsmall]],tbl_Shopping_Centre_Multi[[#This Row],[wr]])*100</f>
        <v>0</v>
      </c>
      <c r="HI4" s="36">
        <f>tbl_Shopping_Centre_Multi[[#This Row],[w (no recyc)]]/IF(tbl_Shopping_Centre_Multi[[#This Row],[Small]]=TRUE,tbl_Shopping_Centre_Multi[[#This Row],[wrsmall]],tbl_Shopping_Centre_Multi[[#This Row],[wr]])*100</f>
        <v>0</v>
      </c>
    </row>
    <row r="5" spans="1:217" ht="16.5" customHeight="1">
      <c r="A5" s="484">
        <v>6</v>
      </c>
      <c r="B5" s="484">
        <v>1.7</v>
      </c>
      <c r="C5" s="485">
        <v>8001</v>
      </c>
      <c r="D5" s="485" t="s">
        <v>1073</v>
      </c>
      <c r="E5" s="488">
        <v>83264.800000000003</v>
      </c>
      <c r="F5" s="488">
        <v>42581.9</v>
      </c>
      <c r="G5" s="488">
        <v>0</v>
      </c>
      <c r="H5" s="488">
        <v>0</v>
      </c>
      <c r="I5" s="485">
        <v>364</v>
      </c>
      <c r="J5" s="485">
        <v>69.8</v>
      </c>
      <c r="K5" s="485">
        <v>181</v>
      </c>
      <c r="L5" s="485">
        <v>0</v>
      </c>
      <c r="M5" s="485">
        <v>1556</v>
      </c>
      <c r="N5" s="485">
        <v>0</v>
      </c>
      <c r="O5" s="487">
        <v>0.4</v>
      </c>
      <c r="P5" s="487">
        <v>0.6</v>
      </c>
      <c r="Q5" s="487">
        <v>0</v>
      </c>
      <c r="R5" s="126">
        <f>tbl_Shopping_Centre_Multi[[#This Row],[Target Max Energy BF]]</f>
        <v>26.5</v>
      </c>
      <c r="S5" s="42">
        <f>IF(tbl_Shopping_Centre_Multi[[#This Row],[GLAR]]&lt;15000,tbl_Shopping_Centre_Multi[[#This Row],[Predicted Emissions Small]],tbl_Shopping_Centre_Multi[[#This Row],[Predicted Emissions]])</f>
        <v>9556456.6798635423</v>
      </c>
      <c r="T5" s="42">
        <f>tbl_Shopping_Centre_Multi[[#This Row],[Target Max CO2]]</f>
        <v>2532461.0201638392</v>
      </c>
      <c r="U5" s="42">
        <f>tbl_Shopping_Centre_Multi[[#This Row],[Target Max e]]</f>
        <v>30.414545163908866</v>
      </c>
      <c r="V5" s="378">
        <f>tbl_Shopping_Centre_Multi[[#This Row],[Target Max Energy Intensity]]</f>
        <v>196.94826283125934</v>
      </c>
      <c r="W5" s="42">
        <f>tbl_Shopping_Centre_Multi[[#This Row],[Target Scopes 1,2&amp;3]]</f>
        <v>2477797.8064200003</v>
      </c>
      <c r="X5" s="42">
        <f>tbl_Shopping_Centre_Multi[[#This Row],[Target Scopes 1&amp;2]]</f>
        <v>2256231.0504199998</v>
      </c>
      <c r="Y5" s="42">
        <f>tbl_Shopping_Centre_Multi[[#This Row],[Target Max Elec (kWh)]]</f>
        <v>1822095</v>
      </c>
      <c r="Z5" s="42">
        <f>tbl_Shopping_Centre_Multi[[#This Row],[Target Max Gas (MJ)]]</f>
        <v>9839314</v>
      </c>
      <c r="AA5" s="42">
        <f>tbl_Shopping_Centre_Multi[[#This Row],[Target Max Diesel (L)]]</f>
        <v>0</v>
      </c>
      <c r="AB5" s="126">
        <f>tbl_Shopping_Centre_Multi[[#This Row],[Target Max Water BF]]</f>
        <v>140.44999999999999</v>
      </c>
      <c r="AC5" s="42">
        <f>IF(tbl_Shopping_Centre_Multi[[#This Row],[GLAR]]&lt;15000,tbl_Shopping_Centre_Multi[[#This Row],[Predicted Water Small]],tbl_Shopping_Centre_Multi[[#This Row],[Predicted Water]])</f>
        <v>89142.567519999997</v>
      </c>
      <c r="AD5" s="42">
        <f>tbl_Shopping_Centre_Multi[[#This Row],[Target Max Water (kL)]]</f>
        <v>125200</v>
      </c>
      <c r="AE5" s="126">
        <f>tbl_Shopping_Centre_Multi[[#This Row],[Target Max Water Intensity]]</f>
        <v>1.5036454309845215</v>
      </c>
      <c r="AF5" s="285">
        <v>857096</v>
      </c>
      <c r="AG5" s="285">
        <v>2776993</v>
      </c>
      <c r="AH5" s="285">
        <v>7993</v>
      </c>
      <c r="AI5" s="43">
        <v>0</v>
      </c>
      <c r="AJ5" s="285">
        <v>23761</v>
      </c>
      <c r="AK5" s="43">
        <v>0</v>
      </c>
      <c r="AL5" s="45" t="str">
        <f>INDEX(tbl_Climate_Lookup[],MATCH(tbl_Shopping_Centre_Multi[[Postcode]:[Postcode]],tbl_Climate_Lookup[[Postcode]:[Postcode]],0),MATCH(tbl_Shopping_Centre_Multi[[#Headers],[State]],tbl_Climate_Lookup[#Headers],0))</f>
        <v>VIC</v>
      </c>
      <c r="AM5" s="45">
        <f>INDEX(tbl_Climate_Lookup[],MATCH(tbl_Shopping_Centre_Multi[[Postcode]:[Postcode]],tbl_Climate_Lookup[[Postcode]:[Postcode]],0),MATCH(tbl_Shopping_Centre_Multi[[#Headers],[Climate zone]],tbl_Climate_Lookup[#Headers],0))</f>
        <v>18</v>
      </c>
      <c r="AN5" s="169">
        <f>INDEX(tbl_Climate_Lookup[],MATCH(tbl_Shopping_Centre_Multi[[Postcode]:[Postcode]],tbl_Climate_Lookup[[Postcode]:[Postcode]],0),MATCH(tbl_Shopping_Centre_Multi[[#Headers],[HDD]],tbl_Climate_Lookup[#Headers],0))</f>
        <v>1590</v>
      </c>
      <c r="AO5" s="169">
        <f>INDEX(tbl_Climate_Lookup[],MATCH(tbl_Shopping_Centre_Multi[[Postcode]:[Postcode]],tbl_Climate_Lookup[[Postcode]:[Postcode]],0),MATCH(tbl_Shopping_Centre_Multi[[#Headers],[CDD]],tbl_Climate_Lookup[#Headers],0))</f>
        <v>100</v>
      </c>
      <c r="AP5" s="45" t="b">
        <f>IF(tbl_Shopping_Centre_Multi[[#This Row],[GLAR]]&lt;15000,TRUE,FALSE)</f>
        <v>0</v>
      </c>
      <c r="AQ5" s="45">
        <f>IF(tbl_Shopping_Centre_Multi[[#This Row],[Stories]]="Multi Storey", 1, 0 )</f>
        <v>1</v>
      </c>
      <c r="AR5" s="45">
        <f>INDEX(tbl_SGE_2020[],MATCH(tbl_Shopping_Centre_Multi[[State]:[State]],tbl_SGE_2020[[State]:[State]],0),MATCH(tbl_Shopping_Centre_Multi[[#Headers],[SGEe]],tbl_SGE_2020[#Headers],0))</f>
        <v>1.0900000000000001</v>
      </c>
      <c r="AS5" s="45">
        <f>INDEX(tbl_SGE_2020[],MATCH(tbl_Shopping_Centre_Multi[[State]:[State]],tbl_SGE_2020[[State]:[State]],0),MATCH(tbl_Shopping_Centre_Multi[[#Headers],[SGEg]],tbl_SGE_2020[#Headers],0))</f>
        <v>5.5530000000000003E-2</v>
      </c>
      <c r="AT5" s="45">
        <f>INDEX(tbl_SGE_2020[],MATCH(tbl_Shopping_Centre_Multi[[State]:[State]],tbl_SGE_2020[[State]:[State]],0),MATCH(tbl_Shopping_Centre_Multi[[#Headers],[SGEd]],tbl_SGE_2020[#Headers],0))</f>
        <v>2.8486799999999999</v>
      </c>
      <c r="AU5" s="50">
        <f>INDEX(tbl_Conversion_Factors[[Conversion Factors]:[Conversion Factors]],MATCH(tbl_Shopping_Centre_Multi[[#Headers],[CFelec]],tbl_Conversion_Factors[[Reference]:[Reference]],0))</f>
        <v>3.6</v>
      </c>
      <c r="AV5" s="50">
        <f>INDEX(tbl_Conversion_Factors[[Conversion Factors]:[Conversion Factors]],MATCH(tbl_Shopping_Centre_Multi[[#Headers],[CFdiesel]],tbl_Conversion_Factors[[Reference]:[Reference]],0))</f>
        <v>38.6</v>
      </c>
      <c r="AW5" s="45">
        <f>tbl_Shopping_Centre_Multi[[#This Row],[SGEe]]/tbl_Shopping_Centre_Multi[[#This Row],[CFelec]]</f>
        <v>0.30277777777777781</v>
      </c>
      <c r="AX5" s="45">
        <f>tbl_Shopping_Centre_Multi[[#This Row],[SGEd]]/tbl_Shopping_Centre_Multi[[#This Row],[CFdiesel]]</f>
        <v>7.3799999999999991E-2</v>
      </c>
      <c r="AY5" s="46">
        <f>IF(SUM(tbl_Shopping_Centre_Multi[[#This Row],[Electricity (%)]:[Diesel (%)]])=1,
SUM(tbl_Shopping_Centre_Multi[[#This Row],[Electricity (%)]]*tbl_Shopping_Centre_Multi[[#This Row],[SGEeMJ]],
tbl_Shopping_Centre_Multi[[#This Row],[Gas (%)]]*tbl_Shopping_Centre_Multi[[#This Row],[SGEg]],
tbl_Shopping_Centre_Multi[[#This Row],[Diesel (%)]]*tbl_Shopping_Centre_Multi[[#This Row],[SGEdMJ]]),
0)</f>
        <v>0.15442911111111113</v>
      </c>
      <c r="AZ5" s="46">
        <f>INDEX(tbl_NGA_Factors_2021[],MATCH(tbl_Shopping_Centre_Multi[[State]:[State]],tbl_NGA_Factors_2021[[State]:[State]],0),MATCH(tbl_Shopping_Centre_Multi[[#Headers],[SGEe Scopes 1,2&amp;3]],tbl_NGA_Factors_2021[#Headers],0))</f>
        <v>1.06</v>
      </c>
      <c r="BA5" s="46">
        <f>INDEX(tbl_NGA_Factors_2021[],MATCH(tbl_Shopping_Centre_Multi[[State]:[State]],tbl_NGA_Factors_2021[[State]:[State]],0),MATCH(tbl_Shopping_Centre_Multi[[#Headers],[SGEg Scopes 1,2&amp;3]],tbl_NGA_Factors_2021[#Headers],0))</f>
        <v>5.5530000000000003E-2</v>
      </c>
      <c r="BB5" s="46">
        <f>INDEX(tbl_NGA_Factors_2021[],MATCH(tbl_Shopping_Centre_Multi[[State]:[State]],tbl_NGA_Factors_2021[[State]:[State]],0),MATCH(tbl_Shopping_Centre_Multi[[#Headers],[SGEd Scopes 1,2&amp;3]],tbl_NGA_Factors_2021[#Headers],0))</f>
        <v>2.8486799999999999</v>
      </c>
      <c r="BC5" s="46">
        <f>INDEX(tbl_NGA_Factors_2021[],MATCH(tbl_Shopping_Centre_Multi[[State]:[State]],tbl_NGA_Factors_2021[[State]:[State]],0),MATCH(tbl_Shopping_Centre_Multi[[#Headers],[SGEe Scopes 1&amp;2]],tbl_NGA_Factors_2021[#Headers],0))</f>
        <v>0.96</v>
      </c>
      <c r="BD5" s="46">
        <f>INDEX(tbl_NGA_Factors_2021[],MATCH(tbl_Shopping_Centre_Multi[[State]:[State]],tbl_NGA_Factors_2021[[State]:[State]],0),MATCH(tbl_Shopping_Centre_Multi[[#Headers],[SGEg Scopes 1&amp;2]],tbl_NGA_Factors_2021[#Headers],0))</f>
        <v>5.1529999999999999E-2</v>
      </c>
      <c r="BE5" s="46">
        <f>INDEX(tbl_NGA_Factors_2021[],MATCH(tbl_Shopping_Centre_Multi[[State]:[State]],tbl_NGA_Factors_2021[[State]:[State]],0),MATCH(tbl_Shopping_Centre_Multi[[#Headers],[SGEd Scopes 1&amp;2]],tbl_NGA_Factors_2021[#Headers],0))</f>
        <v>2.7097199999999999</v>
      </c>
      <c r="BF5" s="45">
        <f>(Shopping_Centre_C_E_Large_Gas*tbl_Shopping_Centre_Multi[[#This Row],[HDD]]*tbl_Shopping_Centre_Multi[[#This Row],[GLARserviced]]*tbl_Shopping_Centre_Multi[[#This Row],[HS]]*tbl_Shopping_Centre_Multi[[#This Row],[SGEg]])/(tbl_Shopping_Centre_Multi[[#This Row],[GLAR]]*Shopping_Centre_C_E_Large_General_Hrs_Ave)</f>
        <v>6.0932718111979662</v>
      </c>
      <c r="BG5" s="45">
        <f>SUM(Shopping_Centre_C_E_Large_General_Intercept,tbl_Shopping_Centre_Multi[[#This Row],[23.45*Floors]],tbl_Shopping_Centre_Multi[[#This Row],[0.101*CDD*GLARserviced*HS/(GLAR*60)]],tbl_Shopping_Centre_Multi[[#This Row],[0.000438*GLAR*TD/357.2]],tbl_Shopping_Centre_Multi[[#This Row],[944*CPmv/GLAR]],tbl_Shopping_Centre_Multi[[#This Row],[204*CPnv/GLAR]])*tbl_Shopping_Centre_Multi[[#This Row],[SGEe]]</f>
        <v>108.67859673185436</v>
      </c>
      <c r="BH5" s="45">
        <f>SUM(tbl_Shopping_Centre_Multi[[#This Row],[Ggas]],tbl_Shopping_Centre_Multi[[#This Row],[Ggeneral]])</f>
        <v>114.77186854305232</v>
      </c>
      <c r="BI5" s="45">
        <f>SUM(Shopping_Centre_C_E_Small_Intercept,tbl_Shopping_Centre_Multi[[#This Row],[0.105*HS/60.25]],tbl_Shopping_Centre_Multi[[#This Row],[35.54*TD/359.56]],tbl_Shopping_Centre_Multi[[#This Row],[64.08*Floors]],tbl_Shopping_Centre_Multi[[#This Row],[7.90*GLARserviced/GLAR]],tbl_Shopping_Centre_Multi[[#This Row],[150.52*CPmv/GLAR]],tbl_Shopping_Centre_Multi[[#This Row],[100.35*CPnv/GLAR]],tbl_Shopping_Centre_Multi[[#This Row],[420.87*FCS/GLAR]],tbl_Shopping_Centre_Multi[[#This Row],[1868.87*GLARservicedGym/GLAR]])*tbl_Shopping_Centre_Multi[[#This Row],[SGEe]]</f>
        <v>123.07489117897757</v>
      </c>
      <c r="BJ5" s="45">
        <f>Shopping_Centre_C_E_Large_General_Floors*tbl_Shopping_Centre_Multi[[#This Row],[Floors]]</f>
        <v>23.45</v>
      </c>
      <c r="BK5" s="45">
        <f>(Shopping_Centre_C_E_Large_General_CDD*tbl_Shopping_Centre_Multi[[#This Row],[CDD]]*tbl_Shopping_Centre_Multi[[#This Row],[GLARserviced]]*tbl_Shopping_Centre_Multi[[#This Row],[HS]])/(tbl_Shopping_Centre_Multi[[#This Row],[GLAR]]*Shopping_Centre_C_E_Large_General_Hrs_Ave)</f>
        <v>6.0088192253309129</v>
      </c>
      <c r="BL5" s="45">
        <f>(Shopping_Centre_C_E_Large_General_TD*tbl_Shopping_Centre_Multi[[#This Row],[GLAR]]*tbl_Shopping_Centre_Multi[[#This Row],[TD]])/Shopping_Centre_C_E_Large_General_TD_Ave</f>
        <v>37.164259780515124</v>
      </c>
      <c r="BM5" s="45">
        <f>(Shopping_Centre_C_E_Large_General_CP_Mech*tbl_Shopping_Centre_Multi[[#This Row],[CPMV]])/tbl_Shopping_Centre_Multi[[#This Row],[GLAR]]</f>
        <v>2.052055610534103</v>
      </c>
      <c r="BN5" s="45">
        <f>(Shopping_Centre_C_E_Large_General_CP_Nat*tbl_Shopping_Centre_Multi[[#This Row],[CPNV]])/tbl_Shopping_Centre_Multi[[#This Row],[GLAR]]</f>
        <v>0</v>
      </c>
      <c r="BO5" s="45">
        <f>Shopping_Centre_C_E_Small_Hrs*tbl_Shopping_Centre_Multi[[#This Row],[HS]]/Shopping_Centre_C_E_Small_Hrs_Ave</f>
        <v>0.12164315352697096</v>
      </c>
      <c r="BP5" s="45">
        <f>Shopping_Centre_C_E_Small_TD*tbl_Shopping_Centre_Multi[[#This Row],[TD]]/Shopping_Centre_C_E_Small_TD_Ave</f>
        <v>35.978863054844808</v>
      </c>
      <c r="BQ5" s="45">
        <f>Shopping_Centre_C_E_Small_Floors*tbl_Shopping_Centre_Multi[[#This Row],[Floors]]</f>
        <v>64.08</v>
      </c>
      <c r="BR5" s="45">
        <f>Shopping_Centre_C_E_Small_GLAR_Serviced*tbl_Shopping_Centre_Multi[[#This Row],[GLARserviced]]/tbl_Shopping_Centre_Multi[[#This Row],[GLAR]]</f>
        <v>4.0400866872916286</v>
      </c>
      <c r="BS5" s="45">
        <f>Shopping_Centre_C_E_Small_CP_Mech*tbl_Shopping_Centre_Multi[[#This Row],[CPMV]]/tbl_Shopping_Centre_Multi[[#This Row],[GLAR]]</f>
        <v>0.32719852806948435</v>
      </c>
      <c r="BT5" s="45">
        <f>Shopping_Centre_C_E_Small_CP_Natural*tbl_Shopping_Centre_Multi[[#This Row],[CPNV]]/tbl_Shopping_Centre_Multi[[#This Row],[GLAR]]</f>
        <v>0</v>
      </c>
      <c r="BU5" s="45">
        <f>Shopping_Centre_C_E_Small_FCS*tbl_Shopping_Centre_Multi[[#This Row],[FCS]]/tbl_Shopping_Centre_Multi[[#This Row],[GLAR]]</f>
        <v>7.8649527771639391</v>
      </c>
      <c r="BV5" s="45">
        <f>Shopping_Centre_C_E_Small_GLAR_Serviced_Gym*tbl_Shopping_Centre_Multi[[#This Row],[GLARservicedGym]]/tbl_Shopping_Centre_Multi[[#This Row],[GLAR]]</f>
        <v>0</v>
      </c>
      <c r="BW5" s="36">
        <f>SUM(Shopping_Centre_C_W_Large_Intercept,tbl_Shopping_Centre_Multi[[#This Row],[0.000314*CDD]],SUM(tbl_Shopping_Centre_Multi[[#This Row],[5.93*GLARgym]],tbl_Shopping_Centre_Multi[[#This Row],[18.9*FCS]],tbl_Shopping_Centre_Multi[[#This Row],[814*Theatrettes]])/tbl_Shopping_Centre_Multi[[#This Row],[GLAR]])</f>
        <v>1.0705912644959215</v>
      </c>
      <c r="BX5" s="36">
        <f>SUM(Shopping_Centre_C_W_Small_Intercept,tbl_Shopping_Centre_Multi[[#This Row],[0.0000148*TD]],tbl_Shopping_Centre_Multi[[#This Row],[0.01082*HS]],tbl_Shopping_Centre_Multi[[#This Row],[0.0000399*CDD]],tbl_Shopping_Centre_Multi[[#This Row],[0.000019*GLAR]],SUM(tbl_Shopping_Centre_Multi[[#This Row],[5.42*GLARgym]],tbl_Shopping_Centre_Multi[[#This Row],[6.23*FCS]],tbl_Shopping_Centre_Multi[[#This Row],[814*Theatrettes]])/tbl_Shopping_Centre_Multi[[#This Row],[GLAR]])</f>
        <v>2.4662467057042115</v>
      </c>
      <c r="BY5" s="36">
        <f>Shopping_Centre_C_W_Large_CDD*tbl_Shopping_Centre_Multi[[#This Row],[CDD]]</f>
        <v>3.1399999999999997E-2</v>
      </c>
      <c r="BZ5" s="38">
        <f>Shopping_Centre_C_W_Large_GLARgym*tbl_Shopping_Centre_Multi[[#This Row],[GLARgym]]</f>
        <v>0</v>
      </c>
      <c r="CA5" s="36">
        <f>Shopping_Centre_C_W_Large_FCS*tbl_Shopping_Centre_Multi[[#This Row],[FCS]]</f>
        <v>29408.399999999998</v>
      </c>
      <c r="CB5" s="36">
        <f>Shopping_Centre_C_W_Shared_Theatrettes*tbl_Shopping_Centre_Multi[[#This Row],[Theatrettes]]</f>
        <v>0</v>
      </c>
      <c r="CC5" s="36">
        <f>Shopping_Centre_C_W_Small_TD*tbl_Shopping_Centre_Multi[[#This Row],[TD]]</f>
        <v>5.3872E-3</v>
      </c>
      <c r="CD5" s="36">
        <f>Shopping_Centre_C_W_Small_Hrs*tbl_Shopping_Centre_Multi[[#This Row],[HS]]</f>
        <v>0.75523599999999991</v>
      </c>
      <c r="CE5" s="36">
        <f>Shopping_Centre_C_W_Small_CDD*tbl_Shopping_Centre_Multi[[#This Row],[CDD]]</f>
        <v>3.9900000000000005E-3</v>
      </c>
      <c r="CF5" s="36">
        <f>Shopping_Centre_C_W_Small_GLAR*tbl_Shopping_Centre_Multi[[#This Row],[GLAR]]</f>
        <v>1.5820312000000001</v>
      </c>
      <c r="CG5" s="36">
        <f>Shopping_Centre_C_W_Small_GLAR_gym*tbl_Shopping_Centre_Multi[[#This Row],[GLARgym]]</f>
        <v>0</v>
      </c>
      <c r="CH5" s="36">
        <f>Shopping_Centre_C_W_Small_FCS*tbl_Shopping_Centre_Multi[[#This Row],[FCS]]</f>
        <v>9693.880000000001</v>
      </c>
      <c r="CI5" s="44">
        <f>tbl_Shopping_Centre_Multi[[#This Row],[er]]*tbl_Shopping_Centre_Multi[[#This Row],[GLAR]]</f>
        <v>9556456.6798635423</v>
      </c>
      <c r="CJ5" s="44">
        <f>tbl_Shopping_Centre_Multi[[#This Row],[ersmall]]*tbl_Shopping_Centre_Multi[[#This Row],[GLAR]]</f>
        <v>10247806.199039331</v>
      </c>
      <c r="CK5" s="44">
        <f>(tbl_Shopping_Centre_Multi[[#This Row],[Target Energy]]-7)/(-6/159)</f>
        <v>26.5</v>
      </c>
      <c r="CL5" s="44">
        <f>tbl_Shopping_Centre_Multi[[#This Row],[Target Max Energy BF]]/100*IF(tbl_Shopping_Centre_Multi[[#This Row],[Small]],tbl_Shopping_Centre_Multi[ersmall],tbl_Shopping_Centre_Multi[[#This Row],[er]])</f>
        <v>30.414545163908866</v>
      </c>
      <c r="CM5" s="44">
        <f>tbl_Shopping_Centre_Multi[[#This Row],[Target Max e]]*tbl_Shopping_Centre_Multi[[#This Row],[GLAR]]</f>
        <v>2532461.0201638392</v>
      </c>
      <c r="CN5" s="44">
        <f>tbl_Shopping_Centre_Multi[[#This Row],[Target Max CO2]]/tbl_Shopping_Centre_Multi[[#This Row],[EffGHG]]</f>
        <v>16398857.714992244</v>
      </c>
      <c r="CO5" s="44">
        <f>tbl_Shopping_Centre_Multi[[#This Row],[Target Max Energy (MJ)]]/tbl_Shopping_Centre_Multi[[#This Row],[GLAR]]</f>
        <v>196.94826283125934</v>
      </c>
      <c r="CP5" s="44">
        <f>ROUNDDOWN(tbl_Shopping_Centre_Multi[[#This Row],[Target Max Energy (MJ)]]*tbl_Shopping_Centre_Multi[[#This Row],[Electricity (%)]]/tbl_Shopping_Centre_Multi[[#This Row],[CFelec]],0)</f>
        <v>1822095</v>
      </c>
      <c r="CQ5" s="44">
        <f>ROUNDDOWN(tbl_Shopping_Centre_Multi[[#This Row],[Target Max Energy (MJ)]]*tbl_Shopping_Centre_Multi[[#This Row],[Gas (%)]],0)</f>
        <v>9839314</v>
      </c>
      <c r="CR5" s="44">
        <f>ROUNDDOWN(tbl_Shopping_Centre_Multi[[#This Row],[Target Max Energy (MJ)]]*tbl_Shopping_Centre_Multi[[#This Row],[Diesel (%)]]/tbl_Shopping_Centre_Multi[[#This Row],[CFdiesel]],0)</f>
        <v>0</v>
      </c>
      <c r="CS5" s="44">
        <f>SUM(tbl_Shopping_Centre_Multi[[#This Row],[Target Max Elec (kWh)]]*tbl_Shopping_Centre_Multi[[#This Row],[SGEe Scopes 1,2&amp;3]],
tbl_Shopping_Centre_Multi[[#This Row],[Target Max Gas (MJ)]]*tbl_Shopping_Centre_Multi[[#This Row],[SGEg Scopes 1,2&amp;3]],
tbl_Shopping_Centre_Multi[[#This Row],[Target Max Diesel (L)]]*tbl_Shopping_Centre_Multi[[#This Row],[SGEd Scopes 1,2&amp;3]])</f>
        <v>2477797.8064200003</v>
      </c>
      <c r="CT5" s="44">
        <f>SUM(tbl_Shopping_Centre_Multi[[#This Row],[Target Max Elec (kWh)]]*tbl_Shopping_Centre_Multi[[#This Row],[SGEe Scopes 1&amp;2]],
tbl_Shopping_Centre_Multi[[#This Row],[Target Max Gas (MJ)]]*tbl_Shopping_Centre_Multi[[#This Row],[SGEg Scopes 1&amp;2]],
tbl_Shopping_Centre_Multi[[#This Row],[Target Max Diesel (L)]]*tbl_Shopping_Centre_Multi[[#This Row],[SGEd Scopes 1&amp;2]])</f>
        <v>2256231.0504199998</v>
      </c>
      <c r="CU5" s="47">
        <f>tbl_Shopping_Centre_Multi[[#This Row],[wr]]*tbl_Shopping_Centre_Multi[[#This Row],[GLAR]]</f>
        <v>89142.567519999997</v>
      </c>
      <c r="CV5" s="47">
        <f>tbl_Shopping_Centre_Multi[[#This Row],[wrsmall]]*tbl_Shopping_Centre_Multi[[#This Row],[GLAR]]</f>
        <v>205351.53870112004</v>
      </c>
      <c r="CW5" s="36">
        <f>(tbl_Shopping_Centre_Multi[[#This Row],[Target Water]]-7)/(-6/159)</f>
        <v>140.44999999999999</v>
      </c>
      <c r="CX5" s="44">
        <f>ROUNDDOWN(tbl_Shopping_Centre_Multi[[#This Row],[Target Max Water BF]]/100*IF(tbl_Shopping_Centre_Multi[[#This Row],[Small]],tbl_Shopping_Centre_Multi[[#This Row],[wrsmall]],tbl_Shopping_Centre_Multi[[#This Row],[wr]])*tbl_Shopping_Centre_Multi[[#This Row],[GLAR]],0)</f>
        <v>125200</v>
      </c>
      <c r="CY5" s="48">
        <f>tbl_Shopping_Centre_Multi[[#This Row],[Target Max Water BF]]/100*IF(tbl_Shopping_Centre_Multi[[#This Row],[Small]],tbl_Shopping_Centre_Multi[[#This Row],[wrsmall]],tbl_Shopping_Centre_Multi[[#This Row],[wr]])</f>
        <v>1.5036454309845215</v>
      </c>
      <c r="CZ5" s="36">
        <f>(LEFT(tbl_Shopping_Centre_Multi[[#Headers],[6.0* Max BF]],3)-7)/(-6/159)</f>
        <v>26.5</v>
      </c>
      <c r="DA5" s="36">
        <f>(LEFT(tbl_Shopping_Centre_Multi[[#Headers],[5.5* Max BF]],3)-7)/(-6/159)</f>
        <v>39.75</v>
      </c>
      <c r="DB5" s="36">
        <f>(LEFT(tbl_Shopping_Centre_Multi[[#Headers],[5.0* Max BF]],3)-7)/(-6/159)</f>
        <v>53</v>
      </c>
      <c r="DC5" s="36">
        <f>(LEFT(tbl_Shopping_Centre_Multi[[#Headers],[4.5* Max BF]],3)-7)/(-6/159)</f>
        <v>66.25</v>
      </c>
      <c r="DD5" s="36">
        <f>(LEFT(tbl_Shopping_Centre_Multi[[#Headers],[4.0* Max BF]],3)-7)/(-6/159)</f>
        <v>79.5</v>
      </c>
      <c r="DE5" s="36">
        <f>(LEFT(tbl_Shopping_Centre_Multi[[#Headers],[3.5* Max BF]],3)-7)/(-6/159)</f>
        <v>92.75</v>
      </c>
      <c r="DF5" s="36">
        <f>(LEFT(tbl_Shopping_Centre_Multi[[#Headers],[3.0* Max BF]],3)-7)/(-6/159)</f>
        <v>106</v>
      </c>
      <c r="DG5" s="36">
        <f>(LEFT(tbl_Shopping_Centre_Multi[[#Headers],[2.5* Max BF]],3)-7)/(-6/159)</f>
        <v>119.25</v>
      </c>
      <c r="DH5" s="36">
        <f>(LEFT(tbl_Shopping_Centre_Multi[[#Headers],[2.0* Max BF]],3)-7)/(-6/159)</f>
        <v>132.5</v>
      </c>
      <c r="DI5" s="36">
        <f>(LEFT(tbl_Shopping_Centre_Multi[[#Headers],[1.5* Max BF]],3)-7)/(-6/159)</f>
        <v>145.75</v>
      </c>
      <c r="DJ5" s="36">
        <f>(LEFT(tbl_Shopping_Centre_Multi[[#Headers],[1.0* Max BF]],3)-7)/(-6/159)</f>
        <v>159</v>
      </c>
      <c r="DK5" s="36">
        <f>(LEFT(tbl_Shopping_Centre_Multi[[#Headers],[0.0* Max BF]],3)-7)/(-6/159)</f>
        <v>185.5</v>
      </c>
      <c r="DL5" s="36">
        <f>tbl_Shopping_Centre_Multi[[#This Row],[6.0* Max BF]]/100*IF(tbl_Shopping_Centre_Multi[[Small]:[Small]],tbl_Shopping_Centre_Multi[[ersmall]:[ersmall]],tbl_Shopping_Centre_Multi[[er]:[er]])</f>
        <v>30.414545163908866</v>
      </c>
      <c r="DM5" s="36">
        <f>tbl_Shopping_Centre_Multi[[#This Row],[5.5* Max BF]]/100*IF(tbl_Shopping_Centre_Multi[[Small]:[Small]],tbl_Shopping_Centre_Multi[[ersmall]:[ersmall]],tbl_Shopping_Centre_Multi[[er]:[er]])</f>
        <v>45.621817745863297</v>
      </c>
      <c r="DN5" s="36">
        <f>tbl_Shopping_Centre_Multi[[#This Row],[5.0* Max BF]]/100*IF(tbl_Shopping_Centre_Multi[[Small]:[Small]],tbl_Shopping_Centre_Multi[[ersmall]:[ersmall]],tbl_Shopping_Centre_Multi[[er]:[er]])</f>
        <v>60.829090327817731</v>
      </c>
      <c r="DO5" s="36">
        <f>tbl_Shopping_Centre_Multi[[#This Row],[4.5* Max BF]]/100*IF(tbl_Shopping_Centre_Multi[[Small]:[Small]],tbl_Shopping_Centre_Multi[[ersmall]:[ersmall]],tbl_Shopping_Centre_Multi[[er]:[er]])</f>
        <v>76.036362909772166</v>
      </c>
      <c r="DP5" s="36">
        <f>tbl_Shopping_Centre_Multi[[#This Row],[4.0* Max BF]]/100*IF(tbl_Shopping_Centre_Multi[[Small]:[Small]],tbl_Shopping_Centre_Multi[[ersmall]:[ersmall]],tbl_Shopping_Centre_Multi[[er]:[er]])</f>
        <v>91.243635491726593</v>
      </c>
      <c r="DQ5" s="36">
        <f>tbl_Shopping_Centre_Multi[[#This Row],[3.5* Max BF]]/100*IF(tbl_Shopping_Centre_Multi[[Small]:[Small]],tbl_Shopping_Centre_Multi[[ersmall]:[ersmall]],tbl_Shopping_Centre_Multi[[er]:[er]])</f>
        <v>106.45090807368102</v>
      </c>
      <c r="DR5" s="36">
        <f>tbl_Shopping_Centre_Multi[[#This Row],[3.0* Max BF]]/100*IF(tbl_Shopping_Centre_Multi[[Small]:[Small]],tbl_Shopping_Centre_Multi[[ersmall]:[ersmall]],tbl_Shopping_Centre_Multi[[er]:[er]])</f>
        <v>121.65818065563546</v>
      </c>
      <c r="DS5" s="36">
        <f>tbl_Shopping_Centre_Multi[[#This Row],[2.5* Max BF]]/100*IF(tbl_Shopping_Centre_Multi[[Small]:[Small]],tbl_Shopping_Centre_Multi[[ersmall]:[ersmall]],tbl_Shopping_Centre_Multi[[er]:[er]])</f>
        <v>136.86545323758989</v>
      </c>
      <c r="DT5" s="36">
        <f>tbl_Shopping_Centre_Multi[[#This Row],[2.0* Max BF]]/100*IF(tbl_Shopping_Centre_Multi[[Small]:[Small]],tbl_Shopping_Centre_Multi[[ersmall]:[ersmall]],tbl_Shopping_Centre_Multi[[er]:[er]])</f>
        <v>152.07272581954433</v>
      </c>
      <c r="DU5" s="36">
        <f>tbl_Shopping_Centre_Multi[[#This Row],[1.5* Max BF]]/100*IF(tbl_Shopping_Centre_Multi[[Small]:[Small]],tbl_Shopping_Centre_Multi[[ersmall]:[ersmall]],tbl_Shopping_Centre_Multi[[er]:[er]])</f>
        <v>167.27999840149877</v>
      </c>
      <c r="DV5" s="36">
        <f>tbl_Shopping_Centre_Multi[[#This Row],[1.0* Max BF]]/100*IF(tbl_Shopping_Centre_Multi[[Small]:[Small]],tbl_Shopping_Centre_Multi[[ersmall]:[ersmall]],tbl_Shopping_Centre_Multi[[er]:[er]])</f>
        <v>182.48727098345319</v>
      </c>
      <c r="DW5" s="36">
        <f>tbl_Shopping_Centre_Multi[[#This Row],[0.0* Max BF]]/100*IF(tbl_Shopping_Centre_Multi[[Small]:[Small]],tbl_Shopping_Centre_Multi[[ersmall]:[ersmall]],tbl_Shopping_Centre_Multi[[er]:[er]])</f>
        <v>212.90181614736204</v>
      </c>
      <c r="DX5" s="44">
        <f>tbl_Shopping_Centre_Multi[[#This Row],[6.0* Max e]]*tbl_Shopping_Centre_Multi[[GLAR]:[GLAR]]</f>
        <v>2532461.0201638392</v>
      </c>
      <c r="DY5" s="44">
        <f>tbl_Shopping_Centre_Multi[[#This Row],[5.5* Max e]]*tbl_Shopping_Centre_Multi[[GLAR]:[GLAR]]</f>
        <v>3798691.5302457581</v>
      </c>
      <c r="DZ5" s="44">
        <f>tbl_Shopping_Centre_Multi[[#This Row],[5.0* Max e]]*tbl_Shopping_Centre_Multi[[GLAR]:[GLAR]]</f>
        <v>5064922.0403276784</v>
      </c>
      <c r="EA5" s="44">
        <f>tbl_Shopping_Centre_Multi[[#This Row],[4.5* Max e]]*tbl_Shopping_Centre_Multi[[GLAR]:[GLAR]]</f>
        <v>6331152.5504095973</v>
      </c>
      <c r="EB5" s="44">
        <f>tbl_Shopping_Centre_Multi[[#This Row],[4.0* Max e]]*tbl_Shopping_Centre_Multi[[GLAR]:[GLAR]]</f>
        <v>7597383.0604915163</v>
      </c>
      <c r="EC5" s="44">
        <f>tbl_Shopping_Centre_Multi[[#This Row],[3.5* Max e]]*tbl_Shopping_Centre_Multi[[GLAR]:[GLAR]]</f>
        <v>8863613.5705734361</v>
      </c>
      <c r="ED5" s="44">
        <f>tbl_Shopping_Centre_Multi[[#This Row],[3.0* Max e]]*tbl_Shopping_Centre_Multi[[GLAR]:[GLAR]]</f>
        <v>10129844.080655357</v>
      </c>
      <c r="EE5" s="44">
        <f>tbl_Shopping_Centre_Multi[[#This Row],[2.5* Max e]]*tbl_Shopping_Centre_Multi[[GLAR]:[GLAR]]</f>
        <v>11396074.590737276</v>
      </c>
      <c r="EF5" s="44">
        <f>tbl_Shopping_Centre_Multi[[#This Row],[2.0* Max e]]*tbl_Shopping_Centre_Multi[[GLAR]:[GLAR]]</f>
        <v>12662305.100819195</v>
      </c>
      <c r="EG5" s="44">
        <f>tbl_Shopping_Centre_Multi[[#This Row],[1.5* Max e]]*tbl_Shopping_Centre_Multi[[GLAR]:[GLAR]]</f>
        <v>13928535.610901115</v>
      </c>
      <c r="EH5" s="44">
        <f>tbl_Shopping_Centre_Multi[[#This Row],[1.0* Max e]]*tbl_Shopping_Centre_Multi[[GLAR]:[GLAR]]</f>
        <v>15194766.120983033</v>
      </c>
      <c r="EI5" s="44">
        <f>tbl_Shopping_Centre_Multi[[#This Row],[0.0* Max e]]*tbl_Shopping_Centre_Multi[[GLAR]:[GLAR]]</f>
        <v>17727227.141146872</v>
      </c>
      <c r="EJ5" s="44">
        <f>tbl_Shopping_Centre_Multi[[#This Row],[6.0* Max CO2]]/tbl_Shopping_Centre_Multi[[EffGHG]:[EffGHG]]</f>
        <v>16398857.714992244</v>
      </c>
      <c r="EK5" s="44">
        <f>tbl_Shopping_Centre_Multi[[#This Row],[5.5* Max CO2]]/tbl_Shopping_Centre_Multi[[EffGHG]:[EffGHG]]</f>
        <v>24598286.57248836</v>
      </c>
      <c r="EL5" s="44">
        <f>tbl_Shopping_Centre_Multi[[#This Row],[5.0* Max CO2]]/tbl_Shopping_Centre_Multi[[EffGHG]:[EffGHG]]</f>
        <v>32797715.429984488</v>
      </c>
      <c r="EM5" s="44">
        <f>tbl_Shopping_Centre_Multi[[#This Row],[4.5* Max CO2]]/tbl_Shopping_Centre_Multi[[EffGHG]:[EffGHG]]</f>
        <v>40997144.287480608</v>
      </c>
      <c r="EN5" s="44">
        <f>tbl_Shopping_Centre_Multi[[#This Row],[4.0* Max CO2]]/tbl_Shopping_Centre_Multi[[EffGHG]:[EffGHG]]</f>
        <v>49196573.14497672</v>
      </c>
      <c r="EO5" s="44">
        <f>tbl_Shopping_Centre_Multi[[#This Row],[3.5* Max CO2]]/tbl_Shopping_Centre_Multi[[EffGHG]:[EffGHG]]</f>
        <v>57396002.002472848</v>
      </c>
      <c r="EP5" s="44">
        <f>tbl_Shopping_Centre_Multi[[#This Row],[3.0* Max CO2]]/tbl_Shopping_Centre_Multi[[EffGHG]:[EffGHG]]</f>
        <v>65595430.859968975</v>
      </c>
      <c r="EQ5" s="44">
        <f>tbl_Shopping_Centre_Multi[[#This Row],[2.5* Max CO2]]/tbl_Shopping_Centre_Multi[[EffGHG]:[EffGHG]]</f>
        <v>73794859.717465088</v>
      </c>
      <c r="ER5" s="44">
        <f>tbl_Shopping_Centre_Multi[[#This Row],[2.0* Max CO2]]/tbl_Shopping_Centre_Multi[[EffGHG]:[EffGHG]]</f>
        <v>81994288.574961215</v>
      </c>
      <c r="ES5" s="44">
        <f>tbl_Shopping_Centre_Multi[[#This Row],[1.5* Max CO2]]/tbl_Shopping_Centre_Multi[[EffGHG]:[EffGHG]]</f>
        <v>90193717.432457343</v>
      </c>
      <c r="ET5" s="44">
        <f>tbl_Shopping_Centre_Multi[[#This Row],[1.0* Max CO2]]/tbl_Shopping_Centre_Multi[[EffGHG]:[EffGHG]]</f>
        <v>98393146.28995344</v>
      </c>
      <c r="EU5" s="44">
        <f>tbl_Shopping_Centre_Multi[[#This Row],[0.0* Max CO2]]/tbl_Shopping_Centre_Multi[[EffGHG]:[EffGHG]]</f>
        <v>114792004.0049457</v>
      </c>
      <c r="EV5" s="44">
        <f>ROUNDDOWN(tbl_Shopping_Centre_Multi[[#This Row],[6.0* Max Energy (MJ)]]*tbl_Shopping_Centre_Multi[[Electricity (%)]:[Electricity (%)]]/tbl_Shopping_Centre_Multi[[CFelec]:[CFelec]],0)</f>
        <v>1822095</v>
      </c>
      <c r="EW5" s="44">
        <f>ROUNDDOWN(tbl_Shopping_Centre_Multi[[#This Row],[5.5* Max Energy (MJ)]]*tbl_Shopping_Centre_Multi[[Electricity (%)]:[Electricity (%)]]/tbl_Shopping_Centre_Multi[[CFelec]:[CFelec]],0)</f>
        <v>2733142</v>
      </c>
      <c r="EX5" s="44">
        <f>ROUNDDOWN(tbl_Shopping_Centre_Multi[[#This Row],[5.0* Max Energy (MJ)]]*tbl_Shopping_Centre_Multi[[Electricity (%)]:[Electricity (%)]]/tbl_Shopping_Centre_Multi[[CFelec]:[CFelec]],0)</f>
        <v>3644190</v>
      </c>
      <c r="EY5" s="44">
        <f>ROUNDDOWN(tbl_Shopping_Centre_Multi[[#This Row],[4.5* Max Energy (MJ)]]*tbl_Shopping_Centre_Multi[[Electricity (%)]:[Electricity (%)]]/tbl_Shopping_Centre_Multi[[CFelec]:[CFelec]],0)</f>
        <v>4555238</v>
      </c>
      <c r="EZ5" s="44">
        <f>ROUNDDOWN(tbl_Shopping_Centre_Multi[[#This Row],[4.0* Max Energy (MJ)]]*tbl_Shopping_Centre_Multi[[Electricity (%)]:[Electricity (%)]]/tbl_Shopping_Centre_Multi[[CFelec]:[CFelec]],0)</f>
        <v>5466285</v>
      </c>
      <c r="FA5" s="44">
        <f>ROUNDDOWN(tbl_Shopping_Centre_Multi[[#This Row],[3.5* Max Energy (MJ)]]*tbl_Shopping_Centre_Multi[[Electricity (%)]:[Electricity (%)]]/tbl_Shopping_Centre_Multi[[CFelec]:[CFelec]],0)</f>
        <v>6377333</v>
      </c>
      <c r="FB5" s="44">
        <f>ROUNDDOWN(tbl_Shopping_Centre_Multi[[#This Row],[3.0* Max Energy (MJ)]]*tbl_Shopping_Centre_Multi[[Electricity (%)]:[Electricity (%)]]/tbl_Shopping_Centre_Multi[[CFelec]:[CFelec]],0)</f>
        <v>7288381</v>
      </c>
      <c r="FC5" s="44">
        <f>ROUNDDOWN(tbl_Shopping_Centre_Multi[[#This Row],[2.5* Max Energy (MJ)]]*tbl_Shopping_Centre_Multi[[Electricity (%)]:[Electricity (%)]]/tbl_Shopping_Centre_Multi[[CFelec]:[CFelec]],0)</f>
        <v>8199428</v>
      </c>
      <c r="FD5" s="44">
        <f>ROUNDDOWN(tbl_Shopping_Centre_Multi[[#This Row],[2.0* Max Energy (MJ)]]*tbl_Shopping_Centre_Multi[[Electricity (%)]:[Electricity (%)]]/tbl_Shopping_Centre_Multi[[CFelec]:[CFelec]],0)</f>
        <v>9110476</v>
      </c>
      <c r="FE5" s="44">
        <f>ROUNDDOWN(tbl_Shopping_Centre_Multi[[#This Row],[1.5* Max Energy (MJ)]]*tbl_Shopping_Centre_Multi[[Electricity (%)]:[Electricity (%)]]/tbl_Shopping_Centre_Multi[[CFelec]:[CFelec]],0)</f>
        <v>10021524</v>
      </c>
      <c r="FF5" s="44">
        <f>ROUNDDOWN(tbl_Shopping_Centre_Multi[[#This Row],[1.0* Max Energy (MJ)]]*tbl_Shopping_Centre_Multi[[Electricity (%)]:[Electricity (%)]]/tbl_Shopping_Centre_Multi[[CFelec]:[CFelec]],0)</f>
        <v>10932571</v>
      </c>
      <c r="FG5" s="44">
        <f>ROUNDDOWN(tbl_Shopping_Centre_Multi[[#This Row],[0.0* Max Energy (MJ)]]*tbl_Shopping_Centre_Multi[[Electricity (%)]:[Electricity (%)]]/tbl_Shopping_Centre_Multi[[CFelec]:[CFelec]],0)</f>
        <v>12754667</v>
      </c>
      <c r="FH5" s="44">
        <f>ROUNDDOWN(tbl_Shopping_Centre_Multi[[#This Row],[6.0* Max Energy (MJ)]]*tbl_Shopping_Centre_Multi[[Gas (%)]:[Gas (%)]],0)</f>
        <v>9839314</v>
      </c>
      <c r="FI5" s="44">
        <f>ROUNDDOWN(tbl_Shopping_Centre_Multi[[#This Row],[5.5* Max Energy (MJ)]]*tbl_Shopping_Centre_Multi[[Gas (%)]:[Gas (%)]],0)</f>
        <v>14758971</v>
      </c>
      <c r="FJ5" s="44">
        <f>ROUNDDOWN(tbl_Shopping_Centre_Multi[[#This Row],[5.0* Max Energy (MJ)]]*tbl_Shopping_Centre_Multi[[Gas (%)]:[Gas (%)]],0)</f>
        <v>19678629</v>
      </c>
      <c r="FK5" s="44">
        <f>ROUNDDOWN(tbl_Shopping_Centre_Multi[[#This Row],[4.5* Max Energy (MJ)]]*tbl_Shopping_Centre_Multi[[Gas (%)]:[Gas (%)]],0)</f>
        <v>24598286</v>
      </c>
      <c r="FL5" s="44">
        <f>ROUNDDOWN(tbl_Shopping_Centre_Multi[[#This Row],[4.0* Max Energy (MJ)]]*tbl_Shopping_Centre_Multi[[Gas (%)]:[Gas (%)]],0)</f>
        <v>29517943</v>
      </c>
      <c r="FM5" s="44">
        <f>ROUNDDOWN(tbl_Shopping_Centre_Multi[[#This Row],[3.5* Max Energy (MJ)]]*tbl_Shopping_Centre_Multi[[Gas (%)]:[Gas (%)]],0)</f>
        <v>34437601</v>
      </c>
      <c r="FN5" s="44">
        <f>ROUNDDOWN(tbl_Shopping_Centre_Multi[[#This Row],[3.0* Max Energy (MJ)]]*tbl_Shopping_Centre_Multi[[Gas (%)]:[Gas (%)]],0)</f>
        <v>39357258</v>
      </c>
      <c r="FO5" s="44">
        <f>ROUNDDOWN(tbl_Shopping_Centre_Multi[[#This Row],[2.5* Max Energy (MJ)]]*tbl_Shopping_Centre_Multi[[Gas (%)]:[Gas (%)]],0)</f>
        <v>44276915</v>
      </c>
      <c r="FP5" s="44">
        <f>ROUNDDOWN(tbl_Shopping_Centre_Multi[[#This Row],[2.0* Max Energy (MJ)]]*tbl_Shopping_Centre_Multi[[Gas (%)]:[Gas (%)]],0)</f>
        <v>49196573</v>
      </c>
      <c r="FQ5" s="44">
        <f>ROUNDDOWN(tbl_Shopping_Centre_Multi[[#This Row],[1.5* Max Energy (MJ)]]*tbl_Shopping_Centre_Multi[[Gas (%)]:[Gas (%)]],0)</f>
        <v>54116230</v>
      </c>
      <c r="FR5" s="44">
        <f>ROUNDDOWN(tbl_Shopping_Centre_Multi[[#This Row],[1.0* Max Energy (MJ)]]*tbl_Shopping_Centre_Multi[[Gas (%)]:[Gas (%)]],0)</f>
        <v>59035887</v>
      </c>
      <c r="FS5" s="44">
        <f>ROUNDDOWN(tbl_Shopping_Centre_Multi[[#This Row],[0.0* Max Energy (MJ)]]*tbl_Shopping_Centre_Multi[[Gas (%)]:[Gas (%)]],0)</f>
        <v>68875202</v>
      </c>
      <c r="FT5" s="44">
        <f>ROUNDDOWN(tbl_Shopping_Centre_Multi[[#This Row],[6.0* Max Energy (MJ)]]*tbl_Shopping_Centre_Multi[[Diesel (%)]:[Diesel (%)]]/tbl_Shopping_Centre_Multi[[CFdiesel]:[CFdiesel]],0)</f>
        <v>0</v>
      </c>
      <c r="FU5" s="44">
        <f>ROUNDDOWN(tbl_Shopping_Centre_Multi[[#This Row],[5.5* Max Energy (MJ)]]*tbl_Shopping_Centre_Multi[[Diesel (%)]:[Diesel (%)]]/tbl_Shopping_Centre_Multi[[CFdiesel]:[CFdiesel]],0)</f>
        <v>0</v>
      </c>
      <c r="FV5" s="44">
        <f>ROUNDDOWN(tbl_Shopping_Centre_Multi[[#This Row],[5.0* Max Energy (MJ)]]*tbl_Shopping_Centre_Multi[[Diesel (%)]:[Diesel (%)]]/tbl_Shopping_Centre_Multi[[CFdiesel]:[CFdiesel]],0)</f>
        <v>0</v>
      </c>
      <c r="FW5" s="44">
        <f>ROUNDDOWN(tbl_Shopping_Centre_Multi[[#This Row],[4.5* Max Energy (MJ)]]*tbl_Shopping_Centre_Multi[[Diesel (%)]:[Diesel (%)]]/tbl_Shopping_Centre_Multi[[CFdiesel]:[CFdiesel]],0)</f>
        <v>0</v>
      </c>
      <c r="FX5" s="44">
        <f>ROUNDDOWN(tbl_Shopping_Centre_Multi[[#This Row],[4.0* Max Energy (MJ)]]*tbl_Shopping_Centre_Multi[[Diesel (%)]:[Diesel (%)]]/tbl_Shopping_Centre_Multi[[CFdiesel]:[CFdiesel]],0)</f>
        <v>0</v>
      </c>
      <c r="FY5" s="44">
        <f>ROUNDDOWN(tbl_Shopping_Centre_Multi[[#This Row],[3.5* Max Energy (MJ)]]*tbl_Shopping_Centre_Multi[[Diesel (%)]:[Diesel (%)]]/tbl_Shopping_Centre_Multi[[CFdiesel]:[CFdiesel]],0)</f>
        <v>0</v>
      </c>
      <c r="FZ5" s="44">
        <f>ROUNDDOWN(tbl_Shopping_Centre_Multi[[#This Row],[3.0* Max Energy (MJ)]]*tbl_Shopping_Centre_Multi[[Diesel (%)]:[Diesel (%)]]/tbl_Shopping_Centre_Multi[[CFdiesel]:[CFdiesel]],0)</f>
        <v>0</v>
      </c>
      <c r="GA5" s="44">
        <f>ROUNDDOWN(tbl_Shopping_Centre_Multi[[#This Row],[2.5* Max Energy (MJ)]]*tbl_Shopping_Centre_Multi[[Diesel (%)]:[Diesel (%)]]/tbl_Shopping_Centre_Multi[[CFdiesel]:[CFdiesel]],0)</f>
        <v>0</v>
      </c>
      <c r="GB5" s="44">
        <f>ROUNDDOWN(tbl_Shopping_Centre_Multi[[#This Row],[2.0* Max Energy (MJ)]]*tbl_Shopping_Centre_Multi[[Diesel (%)]:[Diesel (%)]]/tbl_Shopping_Centre_Multi[[CFdiesel]:[CFdiesel]],0)</f>
        <v>0</v>
      </c>
      <c r="GC5" s="44">
        <f>ROUNDDOWN(tbl_Shopping_Centre_Multi[[#This Row],[1.5* Max Energy (MJ)]]*tbl_Shopping_Centre_Multi[[Diesel (%)]:[Diesel (%)]]/tbl_Shopping_Centre_Multi[[CFdiesel]:[CFdiesel]],0)</f>
        <v>0</v>
      </c>
      <c r="GD5" s="44">
        <f>ROUNDDOWN(tbl_Shopping_Centre_Multi[[#This Row],[1.0* Max Energy (MJ)]]*tbl_Shopping_Centre_Multi[[Diesel (%)]:[Diesel (%)]]/tbl_Shopping_Centre_Multi[[CFdiesel]:[CFdiesel]],0)</f>
        <v>0</v>
      </c>
      <c r="GE5" s="44">
        <f>ROUNDDOWN(tbl_Shopping_Centre_Multi[[#This Row],[0.0* Max Energy (MJ)]]*tbl_Shopping_Centre_Multi[[Diesel (%)]:[Diesel (%)]]/tbl_Shopping_Centre_Multi[[CFdiesel]:[CFdiesel]],0)</f>
        <v>0</v>
      </c>
      <c r="GF5" s="44">
        <f>ROUNDDOWN(tbl_Shopping_Centre_Multi[[#This Row],[6.0* Max BF]]/100*IF(tbl_Shopping_Centre_Multi[[Small]:[Small]],tbl_Shopping_Centre_Multi[[wrsmall]:[wrsmall]],tbl_Shopping_Centre_Multi[[wr]:[wr]])*tbl_Shopping_Centre_Multi[[GLAR]:[GLAR]],0)</f>
        <v>23622</v>
      </c>
      <c r="GG5" s="44">
        <f>ROUNDDOWN(tbl_Shopping_Centre_Multi[[#This Row],[5.5* Max BF]]/100*IF(tbl_Shopping_Centre_Multi[[Small]:[Small]],tbl_Shopping_Centre_Multi[[wrsmall]:[wrsmall]],tbl_Shopping_Centre_Multi[[wr]:[wr]])*tbl_Shopping_Centre_Multi[[GLAR]:[GLAR]],0)</f>
        <v>35434</v>
      </c>
      <c r="GH5" s="44">
        <f>ROUNDDOWN(tbl_Shopping_Centre_Multi[[#This Row],[5.0* Max BF]]/100*IF(tbl_Shopping_Centre_Multi[[Small]:[Small]],tbl_Shopping_Centre_Multi[[wrsmall]:[wrsmall]],tbl_Shopping_Centre_Multi[[wr]:[wr]])*tbl_Shopping_Centre_Multi[[GLAR]:[GLAR]],0)</f>
        <v>47245</v>
      </c>
      <c r="GI5" s="44">
        <f>ROUNDDOWN(tbl_Shopping_Centre_Multi[[#This Row],[4.5* Max BF]]/100*IF(tbl_Shopping_Centre_Multi[[Small]:[Small]],tbl_Shopping_Centre_Multi[[wrsmall]:[wrsmall]],tbl_Shopping_Centre_Multi[[wr]:[wr]])*tbl_Shopping_Centre_Multi[[GLAR]:[GLAR]],0)</f>
        <v>59056</v>
      </c>
      <c r="GJ5" s="44">
        <f>ROUNDDOWN(tbl_Shopping_Centre_Multi[[#This Row],[4.0* Max BF]]/100*IF(tbl_Shopping_Centre_Multi[[Small]:[Small]],tbl_Shopping_Centre_Multi[[wrsmall]:[wrsmall]],tbl_Shopping_Centre_Multi[[wr]:[wr]])*tbl_Shopping_Centre_Multi[[GLAR]:[GLAR]],0)</f>
        <v>70868</v>
      </c>
      <c r="GK5" s="44">
        <f>ROUNDDOWN(tbl_Shopping_Centre_Multi[[#This Row],[3.5* Max BF]]/100*IF(tbl_Shopping_Centre_Multi[[Small]:[Small]],tbl_Shopping_Centre_Multi[[wrsmall]:[wrsmall]],tbl_Shopping_Centre_Multi[[wr]:[wr]])*tbl_Shopping_Centre_Multi[[GLAR]:[GLAR]],0)</f>
        <v>82679</v>
      </c>
      <c r="GL5" s="44">
        <f>ROUNDDOWN(tbl_Shopping_Centre_Multi[[#This Row],[3.0* Max BF]]/100*IF(tbl_Shopping_Centre_Multi[[Small]:[Small]],tbl_Shopping_Centre_Multi[[wrsmall]:[wrsmall]],tbl_Shopping_Centre_Multi[[wr]:[wr]])*tbl_Shopping_Centre_Multi[[GLAR]:[GLAR]],0)</f>
        <v>94491</v>
      </c>
      <c r="GM5" s="44">
        <f>ROUNDDOWN(tbl_Shopping_Centre_Multi[[#This Row],[2.5* Max BF]]/100*IF(tbl_Shopping_Centre_Multi[[Small]:[Small]],tbl_Shopping_Centre_Multi[[wrsmall]:[wrsmall]],tbl_Shopping_Centre_Multi[[wr]:[wr]])*tbl_Shopping_Centre_Multi[[GLAR]:[GLAR]],0)</f>
        <v>106302</v>
      </c>
      <c r="GN5" s="44">
        <f>ROUNDDOWN(tbl_Shopping_Centre_Multi[[#This Row],[2.0* Max BF]]/100*IF(tbl_Shopping_Centre_Multi[[Small]:[Small]],tbl_Shopping_Centre_Multi[[wrsmall]:[wrsmall]],tbl_Shopping_Centre_Multi[[wr]:[wr]])*tbl_Shopping_Centre_Multi[[GLAR]:[GLAR]],0)</f>
        <v>118113</v>
      </c>
      <c r="GO5" s="44">
        <f>ROUNDDOWN(tbl_Shopping_Centre_Multi[[#This Row],[1.5* Max BF]]/100*IF(tbl_Shopping_Centre_Multi[[Small]:[Small]],tbl_Shopping_Centre_Multi[[wrsmall]:[wrsmall]],tbl_Shopping_Centre_Multi[[wr]:[wr]])*tbl_Shopping_Centre_Multi[[GLAR]:[GLAR]],0)</f>
        <v>129925</v>
      </c>
      <c r="GP5" s="44">
        <f>ROUNDDOWN(tbl_Shopping_Centre_Multi[[#This Row],[1.0* Max BF]]/100*IF(tbl_Shopping_Centre_Multi[[Small]:[Small]],tbl_Shopping_Centre_Multi[[wrsmall]:[wrsmall]],tbl_Shopping_Centre_Multi[[wr]:[wr]])*tbl_Shopping_Centre_Multi[[GLAR]:[GLAR]],0)</f>
        <v>141736</v>
      </c>
      <c r="GQ5" s="44">
        <f>ROUNDDOWN(tbl_Shopping_Centre_Multi[[#This Row],[0.0* Max BF]]/100*IF(tbl_Shopping_Centre_Multi[[Small]:[Small]],tbl_Shopping_Centre_Multi[[wrsmall]:[wrsmall]],tbl_Shopping_Centre_Multi[[wr]:[wr]])*tbl_Shopping_Centre_Multi[[GLAR]:[GLAR]],0)</f>
        <v>165359</v>
      </c>
      <c r="GR5" s="44">
        <f>SUM(tbl_Shopping_Centre_Multi[[#This Row],[Electricity]]*(1-tbl_Shopping_Centre_Multi[[#This Row],[GP]])*tbl_Shopping_Centre_Multi[[#This Row],[SGEe Scopes 1,2&amp;3]],
tbl_Shopping_Centre_Multi[[#This Row],[Gas]]*tbl_Shopping_Centre_Multi[[#This Row],[SGEg Scopes 1,2&amp;3]],
tbl_Shopping_Centre_Multi[[#This Row],[Diesel]]*tbl_Shopping_Centre_Multi[[#This Row],[SGEd Scopes 1,2&amp;3]])</f>
        <v>1085497.68053</v>
      </c>
      <c r="GS5" s="44">
        <f>SUM(tbl_Shopping_Centre_Multi[[#This Row],[Electricity]]*(1-tbl_Shopping_Centre_Multi[[#This Row],[GP]])*tbl_Shopping_Centre_Multi[[#This Row],[SGEe Scopes 1&amp;2]],
tbl_Shopping_Centre_Multi[[#This Row],[Gas]]*tbl_Shopping_Centre_Multi[[#This Row],[SGEg Scopes 1&amp;2]],
tbl_Shopping_Centre_Multi[[#This Row],[Diesel]]*tbl_Shopping_Centre_Multi[[#This Row],[SGEd Scopes 1&amp;2]])</f>
        <v>987569.40124999988</v>
      </c>
      <c r="GT5" s="45">
        <f>IF(tbl_Shopping_Centre_Multi[[#This Row],[Energy Star Decimal (with GP)]]&lt;1,0,MIN(ROUNDDOWN(tbl_Shopping_Centre_Multi[[#This Row],[Energy Star Decimal (with GP)]]*2,0)/2,6))</f>
        <v>6</v>
      </c>
      <c r="GU5" s="45">
        <f>((tbl_Shopping_Centre_Multi[[#This Row],[e-BF (with GP)]]*(-6/159)+7)*2)/2</f>
        <v>6.5612131631316837</v>
      </c>
      <c r="GV5" s="45">
        <f>IF(tbl_Shopping_Centre_Multi[[#This Row],[Energy Star Decimal (no GP)]]&lt;1,0,MIN(ROUNDDOWN(tbl_Shopping_Centre_Multi[[#This Row],[Energy Star Decimal (no GP)]]*2,0)/2,6))</f>
        <v>6</v>
      </c>
      <c r="GW5" s="45">
        <f>((tbl_Shopping_Centre_Multi[[#This Row],[e-BF (no GP)]]*(-6/159)+7)*2)/2</f>
        <v>6.5612131631316837</v>
      </c>
      <c r="GX5" s="45">
        <f>SUM(tbl_Shopping_Centre_Multi[[#This Row],[Electricity]]*(1-tbl_Shopping_Centre_Multi[[#This Row],[GP]])*tbl_Shopping_Centre_Multi[[#This Row],[SGEe]],
tbl_Shopping_Centre_Multi[[#This Row],[Gas]]*tbl_Shopping_Centre_Multi[[#This Row],[SGEg]],
tbl_Shopping_Centre_Multi[[#This Row],[Diesel]]*tbl_Shopping_Centre_Multi[[#This Row],[SGEd]])
/tbl_Shopping_Centre_Multi[[#This Row],[GLAR]]</f>
        <v>13.345502067260115</v>
      </c>
      <c r="GY5" s="45">
        <f>SUM(tbl_Shopping_Centre_Multi[[#This Row],[Electricity]]*tbl_Shopping_Centre_Multi[[#This Row],[SGEe]],
tbl_Shopping_Centre_Multi[[#This Row],[Gas]]*tbl_Shopping_Centre_Multi[[#This Row],[SGEg]],
tbl_Shopping_Centre_Multi[[#This Row],[Diesel]]*tbl_Shopping_Centre_Multi[[#This Row],[SGEd]])
/tbl_Shopping_Centre_Multi[[#This Row],[GLAR]]</f>
        <v>13.345502067260115</v>
      </c>
      <c r="GZ5" s="45">
        <f>tbl_Shopping_Centre_Multi[[#This Row],[e (with GP)]]/IF(tbl_Shopping_Centre_Multi[[#This Row],[Small]]=TRUE,tbl_Shopping_Centre_Multi[[#This Row],[ersmall]],tbl_Shopping_Centre_Multi[[#This Row],[er]])*100</f>
        <v>11.627851177010379</v>
      </c>
      <c r="HA5" s="45">
        <f>tbl_Shopping_Centre_Multi[[#This Row],[e (no GP)]]/IF(tbl_Shopping_Centre_Multi[[#This Row],[Small]]=TRUE,tbl_Shopping_Centre_Multi[[#This Row],[ersmall]],tbl_Shopping_Centre_Multi[[#This Row],[er]])*100</f>
        <v>11.627851177010379</v>
      </c>
      <c r="HB5" s="45">
        <f>IF(tbl_Shopping_Centre_Multi[[#This Row],[Water Star Decimal (with recyc)]]&lt;1,0,MIN(ROUNDDOWN(tbl_Shopping_Centre_Multi[[#This Row],[Water Star Decimal (with recyc)]]*2,0)/2,6))</f>
        <v>5.5</v>
      </c>
      <c r="HC5" s="45">
        <f>((tbl_Shopping_Centre_Multi[[#This Row],[w-BF (with recyc)]]*(-6/159)+7)*2)/2</f>
        <v>5.994148884894086</v>
      </c>
      <c r="HD5" s="45">
        <f>IF(tbl_Shopping_Centre_Multi[[#This Row],[Water Star Decimal (no recyc)]]&lt;1,0,MIN(ROUNDDOWN(tbl_Shopping_Centre_Multi[[#This Row],[Water Star Decimal (no recyc)]]*2,0)/2,6))</f>
        <v>5.5</v>
      </c>
      <c r="HE5" s="45">
        <f>((tbl_Shopping_Centre_Multi[[#This Row],[w-BF (no recyc)]]*(-6/159)+7)*2)/2</f>
        <v>5.994148884894086</v>
      </c>
      <c r="HF5" s="36">
        <f>tbl_Shopping_Centre_Multi[[#This Row],[Water]]*(1-tbl_Shopping_Centre_Multi[[#This Row],[RW]])/tbl_Shopping_Centre_Multi[[#This Row],[GLAR]]</f>
        <v>0.28536668556220635</v>
      </c>
      <c r="HG5" s="36">
        <f>tbl_Shopping_Centre_Multi[[#This Row],[Water]]/tbl_Shopping_Centre_Multi[[#This Row],[GLAR]]</f>
        <v>0.28536668556220635</v>
      </c>
      <c r="HH5" s="36">
        <f>tbl_Shopping_Centre_Multi[[#This Row],[w (with recyc)]]/IF(tbl_Shopping_Centre_Multi[[#This Row],[Small]]=TRUE,tbl_Shopping_Centre_Multi[[#This Row],[wrsmall]],tbl_Shopping_Centre_Multi[[#This Row],[wr]])*100</f>
        <v>26.655054550306716</v>
      </c>
      <c r="HI5" s="36">
        <f>tbl_Shopping_Centre_Multi[[#This Row],[w (no recyc)]]/IF(tbl_Shopping_Centre_Multi[[#This Row],[Small]]=TRUE,tbl_Shopping_Centre_Multi[[#This Row],[wrsmall]],tbl_Shopping_Centre_Multi[[#This Row],[wr]])*100</f>
        <v>26.655054550306716</v>
      </c>
    </row>
    <row r="6" spans="1:217" ht="16.5" customHeight="1">
      <c r="A6" s="484">
        <v>5.3</v>
      </c>
      <c r="B6" s="484">
        <v>5.8</v>
      </c>
      <c r="C6" s="485">
        <v>211</v>
      </c>
      <c r="D6" s="485" t="s">
        <v>820</v>
      </c>
      <c r="E6" s="488">
        <v>9304.4</v>
      </c>
      <c r="F6" s="488">
        <v>3365.3</v>
      </c>
      <c r="G6" s="488">
        <v>175.6</v>
      </c>
      <c r="H6" s="488">
        <v>175.6</v>
      </c>
      <c r="I6" s="485">
        <v>362</v>
      </c>
      <c r="J6" s="485">
        <v>63.8</v>
      </c>
      <c r="K6" s="485">
        <v>0</v>
      </c>
      <c r="L6" s="485">
        <v>320</v>
      </c>
      <c r="M6" s="485">
        <v>0</v>
      </c>
      <c r="N6" s="485">
        <v>0</v>
      </c>
      <c r="O6" s="487">
        <v>0.83</v>
      </c>
      <c r="P6" s="487">
        <v>0.16</v>
      </c>
      <c r="Q6" s="487">
        <v>0.01</v>
      </c>
      <c r="R6" s="126">
        <f>tbl_Shopping_Centre_Multi[[#This Row],[Target Max Energy BF]]</f>
        <v>45.050000000000004</v>
      </c>
      <c r="S6" s="42">
        <f>IF(tbl_Shopping_Centre_Multi[[#This Row],[GLAR]]&lt;15000,tbl_Shopping_Centre_Multi[[#This Row],[Predicted Emissions Small]],tbl_Shopping_Centre_Multi[[#This Row],[Predicted Emissions]])</f>
        <v>652932.49586403603</v>
      </c>
      <c r="T6" s="42">
        <f>tbl_Shopping_Centre_Multi[[#This Row],[Target Max CO2]]</f>
        <v>294146.08938674827</v>
      </c>
      <c r="U6" s="42">
        <f>tbl_Shopping_Centre_Multi[[#This Row],[Target Max e]]</f>
        <v>31.613654764063053</v>
      </c>
      <c r="V6" s="378">
        <f>tbl_Shopping_Centre_Multi[[#This Row],[Target Max Energy Intensity]]</f>
        <v>144.63275836477763</v>
      </c>
      <c r="W6" s="42">
        <f>tbl_Shopping_Centre_Multi[[#This Row],[Target Scopes 1,2&amp;3]]</f>
        <v>281733.32909000001</v>
      </c>
      <c r="X6" s="42">
        <f>tbl_Shopping_Centre_Multi[[#This Row],[Target Scopes 1&amp;2]]</f>
        <v>257145.93451000002</v>
      </c>
      <c r="Y6" s="42">
        <f>tbl_Shopping_Centre_Multi[[#This Row],[Target Max Elec (kWh)]]</f>
        <v>310263</v>
      </c>
      <c r="Z6" s="42">
        <f>tbl_Shopping_Centre_Multi[[#This Row],[Target Max Gas (MJ)]]</f>
        <v>215315</v>
      </c>
      <c r="AA6" s="42">
        <f>tbl_Shopping_Centre_Multi[[#This Row],[Target Max Diesel (L)]]</f>
        <v>348</v>
      </c>
      <c r="AB6" s="126">
        <f>tbl_Shopping_Centre_Multi[[#This Row],[Target Max Water BF]]</f>
        <v>31.800000000000004</v>
      </c>
      <c r="AC6" s="42">
        <f>IF(tbl_Shopping_Centre_Multi[[#This Row],[GLAR]]&lt;15000,tbl_Shopping_Centre_Multi[[#This Row],[Predicted Water Small]],tbl_Shopping_Centre_Multi[[#This Row],[Predicted Water]])</f>
        <v>9128.7304084799998</v>
      </c>
      <c r="AD6" s="42">
        <f>tbl_Shopping_Centre_Multi[[#This Row],[Target Max Water (kL)]]</f>
        <v>2902</v>
      </c>
      <c r="AE6" s="126">
        <f>tbl_Shopping_Centre_Multi[[#This Row],[Target Max Water Intensity]]</f>
        <v>0.31199607388941153</v>
      </c>
      <c r="AF6" s="285">
        <v>416979</v>
      </c>
      <c r="AG6" s="285">
        <v>1351012</v>
      </c>
      <c r="AH6" s="285">
        <v>3888</v>
      </c>
      <c r="AI6" s="43">
        <v>0</v>
      </c>
      <c r="AJ6" s="285">
        <v>23761</v>
      </c>
      <c r="AK6" s="43">
        <v>0</v>
      </c>
      <c r="AL6" s="45" t="str">
        <f>INDEX(tbl_Climate_Lookup[],MATCH(tbl_Shopping_Centre_Multi[[Postcode]:[Postcode]],tbl_Climate_Lookup[[Postcode]:[Postcode]],0),MATCH(tbl_Shopping_Centre_Multi[[#Headers],[State]],tbl_Climate_Lookup[#Headers],0))</f>
        <v>ACT</v>
      </c>
      <c r="AM6" s="45">
        <f>INDEX(tbl_Climate_Lookup[],MATCH(tbl_Shopping_Centre_Multi[[Postcode]:[Postcode]],tbl_Climate_Lookup[[Postcode]:[Postcode]],0),MATCH(tbl_Shopping_Centre_Multi[[#Headers],[Climate zone]],tbl_Climate_Lookup[#Headers],0))</f>
        <v>64</v>
      </c>
      <c r="AN6" s="169">
        <f>INDEX(tbl_Climate_Lookup[],MATCH(tbl_Shopping_Centre_Multi[[Postcode]:[Postcode]],tbl_Climate_Lookup[[Postcode]:[Postcode]],0),MATCH(tbl_Shopping_Centre_Multi[[#Headers],[HDD]],tbl_Climate_Lookup[#Headers],0))</f>
        <v>2186</v>
      </c>
      <c r="AO6" s="169">
        <f>INDEX(tbl_Climate_Lookup[],MATCH(tbl_Shopping_Centre_Multi[[Postcode]:[Postcode]],tbl_Climate_Lookup[[Postcode]:[Postcode]],0),MATCH(tbl_Shopping_Centre_Multi[[#Headers],[CDD]],tbl_Climate_Lookup[#Headers],0))</f>
        <v>80</v>
      </c>
      <c r="AP6" s="45" t="b">
        <f>IF(tbl_Shopping_Centre_Multi[[#This Row],[GLAR]]&lt;15000,TRUE,FALSE)</f>
        <v>1</v>
      </c>
      <c r="AQ6" s="45">
        <f>IF(tbl_Shopping_Centre_Multi[[#This Row],[Stories]]="Multi Storey", 1, 0 )</f>
        <v>0</v>
      </c>
      <c r="AR6" s="45">
        <f>INDEX(tbl_SGE_2020[],MATCH(tbl_Shopping_Centre_Multi[[State]:[State]],tbl_SGE_2020[[State]:[State]],0),MATCH(tbl_Shopping_Centre_Multi[[#Headers],[SGEe]],tbl_SGE_2020[#Headers],0))</f>
        <v>0.9</v>
      </c>
      <c r="AS6" s="45">
        <f>INDEX(tbl_SGE_2020[],MATCH(tbl_Shopping_Centre_Multi[[State]:[State]],tbl_SGE_2020[[State]:[State]],0),MATCH(tbl_Shopping_Centre_Multi[[#Headers],[SGEg]],tbl_SGE_2020[#Headers],0))</f>
        <v>6.4630000000000007E-2</v>
      </c>
      <c r="AT6" s="45">
        <f>INDEX(tbl_SGE_2020[],MATCH(tbl_Shopping_Centre_Multi[[State]:[State]],tbl_SGE_2020[[State]:[State]],0),MATCH(tbl_Shopping_Centre_Multi[[#Headers],[SGEd]],tbl_SGE_2020[#Headers],0))</f>
        <v>2.8486799999999999</v>
      </c>
      <c r="AU6" s="50">
        <f>INDEX(tbl_Conversion_Factors[[Conversion Factors]:[Conversion Factors]],MATCH(tbl_Shopping_Centre_Multi[[#Headers],[CFelec]],tbl_Conversion_Factors[[Reference]:[Reference]],0))</f>
        <v>3.6</v>
      </c>
      <c r="AV6" s="50">
        <f>INDEX(tbl_Conversion_Factors[[Conversion Factors]:[Conversion Factors]],MATCH(tbl_Shopping_Centre_Multi[[#Headers],[CFdiesel]],tbl_Conversion_Factors[[Reference]:[Reference]],0))</f>
        <v>38.6</v>
      </c>
      <c r="AW6" s="45">
        <f>tbl_Shopping_Centre_Multi[[#This Row],[SGEe]]/tbl_Shopping_Centre_Multi[[#This Row],[CFelec]]</f>
        <v>0.25</v>
      </c>
      <c r="AX6" s="45">
        <f>tbl_Shopping_Centre_Multi[[#This Row],[SGEd]]/tbl_Shopping_Centre_Multi[[#This Row],[CFdiesel]]</f>
        <v>7.3799999999999991E-2</v>
      </c>
      <c r="AY6" s="46">
        <f>IF(SUM(tbl_Shopping_Centre_Multi[[#This Row],[Electricity (%)]:[Diesel (%)]])=1,
SUM(tbl_Shopping_Centre_Multi[[#This Row],[Electricity (%)]]*tbl_Shopping_Centre_Multi[[#This Row],[SGEeMJ]],
tbl_Shopping_Centre_Multi[[#This Row],[Gas (%)]]*tbl_Shopping_Centre_Multi[[#This Row],[SGEg]],
tbl_Shopping_Centre_Multi[[#This Row],[Diesel (%)]]*tbl_Shopping_Centre_Multi[[#This Row],[SGEdMJ]]),
0)</f>
        <v>0.21857879999999999</v>
      </c>
      <c r="AZ6" s="46">
        <f>INDEX(tbl_NGA_Factors_2021[],MATCH(tbl_Shopping_Centre_Multi[[State]:[State]],tbl_NGA_Factors_2021[[State]:[State]],0),MATCH(tbl_Shopping_Centre_Multi[[#Headers],[SGEe Scopes 1,2&amp;3]],tbl_NGA_Factors_2021[#Headers],0))</f>
        <v>0.86</v>
      </c>
      <c r="BA6" s="46">
        <f>INDEX(tbl_NGA_Factors_2021[],MATCH(tbl_Shopping_Centre_Multi[[State]:[State]],tbl_NGA_Factors_2021[[State]:[State]],0),MATCH(tbl_Shopping_Centre_Multi[[#Headers],[SGEg Scopes 1,2&amp;3]],tbl_NGA_Factors_2021[#Headers],0))</f>
        <v>6.4630000000000007E-2</v>
      </c>
      <c r="BB6" s="46">
        <f>INDEX(tbl_NGA_Factors_2021[],MATCH(tbl_Shopping_Centre_Multi[[State]:[State]],tbl_NGA_Factors_2021[[State]:[State]],0),MATCH(tbl_Shopping_Centre_Multi[[#Headers],[SGEd Scopes 1,2&amp;3]],tbl_NGA_Factors_2021[#Headers],0))</f>
        <v>2.8486799999999999</v>
      </c>
      <c r="BC6" s="46">
        <f>INDEX(tbl_NGA_Factors_2021[],MATCH(tbl_Shopping_Centre_Multi[[State]:[State]],tbl_NGA_Factors_2021[[State]:[State]],0),MATCH(tbl_Shopping_Centre_Multi[[#Headers],[SGEe Scopes 1&amp;2]],tbl_NGA_Factors_2021[#Headers],0))</f>
        <v>0.79</v>
      </c>
      <c r="BD6" s="46">
        <f>INDEX(tbl_NGA_Factors_2021[],MATCH(tbl_Shopping_Centre_Multi[[State]:[State]],tbl_NGA_Factors_2021[[State]:[State]],0),MATCH(tbl_Shopping_Centre_Multi[[#Headers],[SGEg Scopes 1&amp;2]],tbl_NGA_Factors_2021[#Headers],0))</f>
        <v>5.1529999999999999E-2</v>
      </c>
      <c r="BE6" s="46">
        <f>INDEX(tbl_NGA_Factors_2021[],MATCH(tbl_Shopping_Centre_Multi[[State]:[State]],tbl_NGA_Factors_2021[[State]:[State]],0),MATCH(tbl_Shopping_Centre_Multi[[#Headers],[SGEd Scopes 1&amp;2]],tbl_NGA_Factors_2021[#Headers],0))</f>
        <v>2.7097199999999999</v>
      </c>
      <c r="BF6" s="45">
        <f>(Shopping_Centre_C_E_Large_Gas*tbl_Shopping_Centre_Multi[[#This Row],[HDD]]*tbl_Shopping_Centre_Multi[[#This Row],[GLARserviced]]*tbl_Shopping_Centre_Multi[[#This Row],[HS]]*tbl_Shopping_Centre_Multi[[#This Row],[SGEg]])/(tbl_Shopping_Centre_Multi[[#This Row],[GLAR]]*Shopping_Centre_C_E_Large_General_Hrs_Ave)</f>
        <v>6.3029976323811736</v>
      </c>
      <c r="BG6" s="45">
        <f>SUM(Shopping_Centre_C_E_Large_General_Intercept,tbl_Shopping_Centre_Multi[[#This Row],[23.45*Floors]],tbl_Shopping_Centre_Multi[[#This Row],[0.101*CDD*GLARserviced*HS/(GLAR*60)]],tbl_Shopping_Centre_Multi[[#This Row],[0.000438*GLAR*TD/357.2]],tbl_Shopping_Centre_Multi[[#This Row],[944*CPmv/GLAR]],tbl_Shopping_Centre_Multi[[#This Row],[204*CPnv/GLAR]])*tbl_Shopping_Centre_Multi[[#This Row],[SGEe]]</f>
        <v>40.755296249074824</v>
      </c>
      <c r="BH6" s="45">
        <f>SUM(tbl_Shopping_Centre_Multi[[#This Row],[Ggas]],tbl_Shopping_Centre_Multi[[#This Row],[Ggeneral]])</f>
        <v>47.058293881455995</v>
      </c>
      <c r="BI6" s="45">
        <f>SUM(Shopping_Centre_C_E_Small_Intercept,tbl_Shopping_Centre_Multi[[#This Row],[0.105*HS/60.25]],tbl_Shopping_Centre_Multi[[#This Row],[35.54*TD/359.56]],tbl_Shopping_Centre_Multi[[#This Row],[64.08*Floors]],tbl_Shopping_Centre_Multi[[#This Row],[7.90*GLARserviced/GLAR]],tbl_Shopping_Centre_Multi[[#This Row],[150.52*CPmv/GLAR]],tbl_Shopping_Centre_Multi[[#This Row],[100.35*CPnv/GLAR]],tbl_Shopping_Centre_Multi[[#This Row],[420.87*FCS/GLAR]],tbl_Shopping_Centre_Multi[[#This Row],[1868.87*GLARservicedGym/GLAR]])*tbl_Shopping_Centre_Multi[[#This Row],[SGEe]]</f>
        <v>70.174594370839174</v>
      </c>
      <c r="BJ6" s="45">
        <f>Shopping_Centre_C_E_Large_General_Floors*tbl_Shopping_Centre_Multi[[#This Row],[Floors]]</f>
        <v>0</v>
      </c>
      <c r="BK6" s="45">
        <f>(Shopping_Centre_C_E_Large_General_CDD*tbl_Shopping_Centre_Multi[[#This Row],[CDD]]*tbl_Shopping_Centre_Multi[[#This Row],[GLARserviced]]*tbl_Shopping_Centre_Multi[[#This Row],[HS]])/(tbl_Shopping_Centre_Multi[[#This Row],[GLAR]]*Shopping_Centre_C_E_Large_General_Hrs_Ave)</f>
        <v>3.1075362394852619</v>
      </c>
      <c r="BL6" s="45">
        <f>(Shopping_Centre_C_E_Large_General_TD*tbl_Shopping_Centre_Multi[[#This Row],[GLAR]]*tbl_Shopping_Centre_Multi[[#This Row],[TD]])/Shopping_Centre_C_E_Large_General_TD_Ave</f>
        <v>4.1300908353863388</v>
      </c>
      <c r="BM6" s="45">
        <f>(Shopping_Centre_C_E_Large_General_CP_Mech*tbl_Shopping_Centre_Multi[[#This Row],[CPMV]])/tbl_Shopping_Centre_Multi[[#This Row],[GLAR]]</f>
        <v>0</v>
      </c>
      <c r="BN6" s="45">
        <f>(Shopping_Centre_C_E_Large_General_CP_Nat*tbl_Shopping_Centre_Multi[[#This Row],[CPNV]])/tbl_Shopping_Centre_Multi[[#This Row],[GLAR]]</f>
        <v>7.0160354241004255</v>
      </c>
      <c r="BO6" s="45">
        <f>Shopping_Centre_C_E_Small_Hrs*tbl_Shopping_Centre_Multi[[#This Row],[HS]]/Shopping_Centre_C_E_Small_Hrs_Ave</f>
        <v>0.11118672199170124</v>
      </c>
      <c r="BP6" s="45">
        <f>Shopping_Centre_C_E_Small_TD*tbl_Shopping_Centre_Multi[[#This Row],[TD]]/Shopping_Centre_C_E_Small_TD_Ave</f>
        <v>35.781176994103902</v>
      </c>
      <c r="BQ6" s="45">
        <f>Shopping_Centre_C_E_Small_Floors*tbl_Shopping_Centre_Multi[[#This Row],[Floors]]</f>
        <v>0</v>
      </c>
      <c r="BR6" s="45">
        <f>Shopping_Centre_C_E_Small_GLAR_Serviced*tbl_Shopping_Centre_Multi[[#This Row],[GLARserviced]]/tbl_Shopping_Centre_Multi[[#This Row],[GLAR]]</f>
        <v>2.8573438373242772</v>
      </c>
      <c r="BS6" s="45">
        <f>Shopping_Centre_C_E_Small_CP_Mech*tbl_Shopping_Centre_Multi[[#This Row],[CPMV]]/tbl_Shopping_Centre_Multi[[#This Row],[GLAR]]</f>
        <v>0</v>
      </c>
      <c r="BT6" s="45">
        <f>Shopping_Centre_C_E_Small_CP_Natural*tbl_Shopping_Centre_Multi[[#This Row],[CPNV]]/tbl_Shopping_Centre_Multi[[#This Row],[GLAR]]</f>
        <v>3.4512703667082243</v>
      </c>
      <c r="BU6" s="45">
        <f>Shopping_Centre_C_E_Small_FCS*tbl_Shopping_Centre_Multi[[#This Row],[FCS]]/tbl_Shopping_Centre_Multi[[#This Row],[GLAR]]</f>
        <v>0</v>
      </c>
      <c r="BV6" s="45">
        <f>Shopping_Centre_C_E_Small_GLAR_Serviced_Gym*tbl_Shopping_Centre_Multi[[#This Row],[GLARservicedGym]]/tbl_Shopping_Centre_Multi[[#This Row],[GLAR]]</f>
        <v>35.270793603026526</v>
      </c>
      <c r="BW6" s="36">
        <f>SUM(Shopping_Centre_C_W_Large_Intercept,tbl_Shopping_Centre_Multi[[#This Row],[0.000314*CDD]],SUM(tbl_Shopping_Centre_Multi[[#This Row],[5.93*GLARgym]],tbl_Shopping_Centre_Multi[[#This Row],[18.9*FCS]],tbl_Shopping_Centre_Multi[[#This Row],[814*Theatrettes]])/tbl_Shopping_Centre_Multi[[#This Row],[GLAR]])</f>
        <v>0.82303565280942359</v>
      </c>
      <c r="BX6" s="36">
        <f>SUM(Shopping_Centre_C_W_Small_Intercept,tbl_Shopping_Centre_Multi[[#This Row],[0.0000148*TD]],tbl_Shopping_Centre_Multi[[#This Row],[0.01082*HS]],tbl_Shopping_Centre_Multi[[#This Row],[0.0000399*CDD]],tbl_Shopping_Centre_Multi[[#This Row],[0.000019*GLAR]],SUM(tbl_Shopping_Centre_Multi[[#This Row],[5.42*GLARgym]],tbl_Shopping_Centre_Multi[[#This Row],[6.23*FCS]],tbl_Shopping_Centre_Multi[[#This Row],[814*Theatrettes]])/tbl_Shopping_Centre_Multi[[#This Row],[GLAR]])</f>
        <v>0.98111972921198576</v>
      </c>
      <c r="BY6" s="36">
        <f>Shopping_Centre_C_W_Large_CDD*tbl_Shopping_Centre_Multi[[#This Row],[CDD]]</f>
        <v>2.512E-2</v>
      </c>
      <c r="BZ6" s="38">
        <f>Shopping_Centre_C_W_Large_GLARgym*tbl_Shopping_Centre_Multi[[#This Row],[GLARgym]]</f>
        <v>1041.308</v>
      </c>
      <c r="CA6" s="36">
        <f>Shopping_Centre_C_W_Large_FCS*tbl_Shopping_Centre_Multi[[#This Row],[FCS]]</f>
        <v>0</v>
      </c>
      <c r="CB6" s="36">
        <f>Shopping_Centre_C_W_Shared_Theatrettes*tbl_Shopping_Centre_Multi[[#This Row],[Theatrettes]]</f>
        <v>0</v>
      </c>
      <c r="CC6" s="36">
        <f>Shopping_Centre_C_W_Small_TD*tbl_Shopping_Centre_Multi[[#This Row],[TD]]</f>
        <v>5.3576000000000006E-3</v>
      </c>
      <c r="CD6" s="36">
        <f>Shopping_Centre_C_W_Small_Hrs*tbl_Shopping_Centre_Multi[[#This Row],[HS]]</f>
        <v>0.69031599999999993</v>
      </c>
      <c r="CE6" s="36">
        <f>Shopping_Centre_C_W_Small_CDD*tbl_Shopping_Centre_Multi[[#This Row],[CDD]]</f>
        <v>3.192E-3</v>
      </c>
      <c r="CF6" s="36">
        <f>Shopping_Centre_C_W_Small_GLAR*tbl_Shopping_Centre_Multi[[#This Row],[GLAR]]</f>
        <v>0.17678360000000001</v>
      </c>
      <c r="CG6" s="36">
        <f>Shopping_Centre_C_W_Small_GLAR_gym*tbl_Shopping_Centre_Multi[[#This Row],[GLARgym]]</f>
        <v>951.75199999999995</v>
      </c>
      <c r="CH6" s="36">
        <f>Shopping_Centre_C_W_Small_FCS*tbl_Shopping_Centre_Multi[[#This Row],[FCS]]</f>
        <v>0</v>
      </c>
      <c r="CI6" s="44">
        <f>tbl_Shopping_Centre_Multi[[#This Row],[er]]*tbl_Shopping_Centre_Multi[[#This Row],[GLAR]]</f>
        <v>437849.18959061912</v>
      </c>
      <c r="CJ6" s="44">
        <f>tbl_Shopping_Centre_Multi[[#This Row],[ersmall]]*tbl_Shopping_Centre_Multi[[#This Row],[GLAR]]</f>
        <v>652932.49586403603</v>
      </c>
      <c r="CK6" s="44">
        <f>(tbl_Shopping_Centre_Multi[[#This Row],[Target Energy]]-7)/(-6/159)</f>
        <v>45.050000000000004</v>
      </c>
      <c r="CL6" s="44">
        <f>tbl_Shopping_Centre_Multi[[#This Row],[Target Max Energy BF]]/100*IF(tbl_Shopping_Centre_Multi[[#This Row],[Small]],tbl_Shopping_Centre_Multi[ersmall],tbl_Shopping_Centre_Multi[[#This Row],[er]])</f>
        <v>31.613654764063053</v>
      </c>
      <c r="CM6" s="44">
        <f>tbl_Shopping_Centre_Multi[[#This Row],[Target Max e]]*tbl_Shopping_Centre_Multi[[#This Row],[GLAR]]</f>
        <v>294146.08938674827</v>
      </c>
      <c r="CN6" s="44">
        <f>tbl_Shopping_Centre_Multi[[#This Row],[Target Max CO2]]/tbl_Shopping_Centre_Multi[[#This Row],[EffGHG]]</f>
        <v>1345721.036929237</v>
      </c>
      <c r="CO6" s="44">
        <f>tbl_Shopping_Centre_Multi[[#This Row],[Target Max Energy (MJ)]]/tbl_Shopping_Centre_Multi[[#This Row],[GLAR]]</f>
        <v>144.63275836477763</v>
      </c>
      <c r="CP6" s="44">
        <f>ROUNDDOWN(tbl_Shopping_Centre_Multi[[#This Row],[Target Max Energy (MJ)]]*tbl_Shopping_Centre_Multi[[#This Row],[Electricity (%)]]/tbl_Shopping_Centre_Multi[[#This Row],[CFelec]],0)</f>
        <v>310263</v>
      </c>
      <c r="CQ6" s="44">
        <f>ROUNDDOWN(tbl_Shopping_Centre_Multi[[#This Row],[Target Max Energy (MJ)]]*tbl_Shopping_Centre_Multi[[#This Row],[Gas (%)]],0)</f>
        <v>215315</v>
      </c>
      <c r="CR6" s="44">
        <f>ROUNDDOWN(tbl_Shopping_Centre_Multi[[#This Row],[Target Max Energy (MJ)]]*tbl_Shopping_Centre_Multi[[#This Row],[Diesel (%)]]/tbl_Shopping_Centre_Multi[[#This Row],[CFdiesel]],0)</f>
        <v>348</v>
      </c>
      <c r="CS6" s="44">
        <f>SUM(tbl_Shopping_Centre_Multi[[#This Row],[Target Max Elec (kWh)]]*tbl_Shopping_Centre_Multi[[#This Row],[SGEe Scopes 1,2&amp;3]],
tbl_Shopping_Centre_Multi[[#This Row],[Target Max Gas (MJ)]]*tbl_Shopping_Centre_Multi[[#This Row],[SGEg Scopes 1,2&amp;3]],
tbl_Shopping_Centre_Multi[[#This Row],[Target Max Diesel (L)]]*tbl_Shopping_Centre_Multi[[#This Row],[SGEd Scopes 1,2&amp;3]])</f>
        <v>281733.32909000001</v>
      </c>
      <c r="CT6" s="44">
        <f>SUM(tbl_Shopping_Centre_Multi[[#This Row],[Target Max Elec (kWh)]]*tbl_Shopping_Centre_Multi[[#This Row],[SGEe Scopes 1&amp;2]],
tbl_Shopping_Centre_Multi[[#This Row],[Target Max Gas (MJ)]]*tbl_Shopping_Centre_Multi[[#This Row],[SGEg Scopes 1&amp;2]],
tbl_Shopping_Centre_Multi[[#This Row],[Target Max Diesel (L)]]*tbl_Shopping_Centre_Multi[[#This Row],[SGEd Scopes 1&amp;2]])</f>
        <v>257145.93451000002</v>
      </c>
      <c r="CU6" s="47">
        <f>tbl_Shopping_Centre_Multi[[#This Row],[wr]]*tbl_Shopping_Centre_Multi[[#This Row],[GLAR]]</f>
        <v>7657.8529280000002</v>
      </c>
      <c r="CV6" s="47">
        <f>tbl_Shopping_Centre_Multi[[#This Row],[wrsmall]]*tbl_Shopping_Centre_Multi[[#This Row],[GLAR]]</f>
        <v>9128.7304084799998</v>
      </c>
      <c r="CW6" s="36">
        <f>(tbl_Shopping_Centre_Multi[[#This Row],[Target Water]]-7)/(-6/159)</f>
        <v>31.800000000000004</v>
      </c>
      <c r="CX6" s="44">
        <f>ROUNDDOWN(tbl_Shopping_Centre_Multi[[#This Row],[Target Max Water BF]]/100*IF(tbl_Shopping_Centre_Multi[[#This Row],[Small]],tbl_Shopping_Centre_Multi[[#This Row],[wrsmall]],tbl_Shopping_Centre_Multi[[#This Row],[wr]])*tbl_Shopping_Centre_Multi[[#This Row],[GLAR]],0)</f>
        <v>2902</v>
      </c>
      <c r="CY6" s="48">
        <f>tbl_Shopping_Centre_Multi[[#This Row],[Target Max Water BF]]/100*IF(tbl_Shopping_Centre_Multi[[#This Row],[Small]],tbl_Shopping_Centre_Multi[[#This Row],[wrsmall]],tbl_Shopping_Centre_Multi[[#This Row],[wr]])</f>
        <v>0.31199607388941153</v>
      </c>
      <c r="CZ6" s="36">
        <f>(LEFT(tbl_Shopping_Centre_Multi[[#Headers],[6.0* Max BF]],3)-7)/(-6/159)</f>
        <v>26.5</v>
      </c>
      <c r="DA6" s="36">
        <f>(LEFT(tbl_Shopping_Centre_Multi[[#Headers],[5.5* Max BF]],3)-7)/(-6/159)</f>
        <v>39.75</v>
      </c>
      <c r="DB6" s="36">
        <f>(LEFT(tbl_Shopping_Centre_Multi[[#Headers],[5.0* Max BF]],3)-7)/(-6/159)</f>
        <v>53</v>
      </c>
      <c r="DC6" s="36">
        <f>(LEFT(tbl_Shopping_Centre_Multi[[#Headers],[4.5* Max BF]],3)-7)/(-6/159)</f>
        <v>66.25</v>
      </c>
      <c r="DD6" s="36">
        <f>(LEFT(tbl_Shopping_Centre_Multi[[#Headers],[4.0* Max BF]],3)-7)/(-6/159)</f>
        <v>79.5</v>
      </c>
      <c r="DE6" s="36">
        <f>(LEFT(tbl_Shopping_Centre_Multi[[#Headers],[3.5* Max BF]],3)-7)/(-6/159)</f>
        <v>92.75</v>
      </c>
      <c r="DF6" s="36">
        <f>(LEFT(tbl_Shopping_Centre_Multi[[#Headers],[3.0* Max BF]],3)-7)/(-6/159)</f>
        <v>106</v>
      </c>
      <c r="DG6" s="36">
        <f>(LEFT(tbl_Shopping_Centre_Multi[[#Headers],[2.5* Max BF]],3)-7)/(-6/159)</f>
        <v>119.25</v>
      </c>
      <c r="DH6" s="36">
        <f>(LEFT(tbl_Shopping_Centre_Multi[[#Headers],[2.0* Max BF]],3)-7)/(-6/159)</f>
        <v>132.5</v>
      </c>
      <c r="DI6" s="36">
        <f>(LEFT(tbl_Shopping_Centre_Multi[[#Headers],[1.5* Max BF]],3)-7)/(-6/159)</f>
        <v>145.75</v>
      </c>
      <c r="DJ6" s="36">
        <f>(LEFT(tbl_Shopping_Centre_Multi[[#Headers],[1.0* Max BF]],3)-7)/(-6/159)</f>
        <v>159</v>
      </c>
      <c r="DK6" s="36">
        <f>(LEFT(tbl_Shopping_Centre_Multi[[#Headers],[0.0* Max BF]],3)-7)/(-6/159)</f>
        <v>185.5</v>
      </c>
      <c r="DL6" s="36">
        <f>tbl_Shopping_Centre_Multi[[#This Row],[6.0* Max BF]]/100*IF(tbl_Shopping_Centre_Multi[[Small]:[Small]],tbl_Shopping_Centre_Multi[[ersmall]:[ersmall]],tbl_Shopping_Centre_Multi[[er]:[er]])</f>
        <v>18.596267508272383</v>
      </c>
      <c r="DM6" s="36">
        <f>tbl_Shopping_Centre_Multi[[#This Row],[5.5* Max BF]]/100*IF(tbl_Shopping_Centre_Multi[[Small]:[Small]],tbl_Shopping_Centre_Multi[[ersmall]:[ersmall]],tbl_Shopping_Centre_Multi[[er]:[er]])</f>
        <v>27.894401262408572</v>
      </c>
      <c r="DN6" s="36">
        <f>tbl_Shopping_Centre_Multi[[#This Row],[5.0* Max BF]]/100*IF(tbl_Shopping_Centre_Multi[[Small]:[Small]],tbl_Shopping_Centre_Multi[[ersmall]:[ersmall]],tbl_Shopping_Centre_Multi[[er]:[er]])</f>
        <v>37.192535016544767</v>
      </c>
      <c r="DO6" s="36">
        <f>tbl_Shopping_Centre_Multi[[#This Row],[4.5* Max BF]]/100*IF(tbl_Shopping_Centre_Multi[[Small]:[Small]],tbl_Shopping_Centre_Multi[[ersmall]:[ersmall]],tbl_Shopping_Centre_Multi[[er]:[er]])</f>
        <v>46.490668770680948</v>
      </c>
      <c r="DP6" s="36">
        <f>tbl_Shopping_Centre_Multi[[#This Row],[4.0* Max BF]]/100*IF(tbl_Shopping_Centre_Multi[[Small]:[Small]],tbl_Shopping_Centre_Multi[[ersmall]:[ersmall]],tbl_Shopping_Centre_Multi[[er]:[er]])</f>
        <v>55.788802524817143</v>
      </c>
      <c r="DQ6" s="36">
        <f>tbl_Shopping_Centre_Multi[[#This Row],[3.5* Max BF]]/100*IF(tbl_Shopping_Centre_Multi[[Small]:[Small]],tbl_Shopping_Centre_Multi[[ersmall]:[ersmall]],tbl_Shopping_Centre_Multi[[er]:[er]])</f>
        <v>65.086936278953331</v>
      </c>
      <c r="DR6" s="36">
        <f>tbl_Shopping_Centre_Multi[[#This Row],[3.0* Max BF]]/100*IF(tbl_Shopping_Centre_Multi[[Small]:[Small]],tbl_Shopping_Centre_Multi[[ersmall]:[ersmall]],tbl_Shopping_Centre_Multi[[er]:[er]])</f>
        <v>74.385070033089534</v>
      </c>
      <c r="DS6" s="36">
        <f>tbl_Shopping_Centre_Multi[[#This Row],[2.5* Max BF]]/100*IF(tbl_Shopping_Centre_Multi[[Small]:[Small]],tbl_Shopping_Centre_Multi[[ersmall]:[ersmall]],tbl_Shopping_Centre_Multi[[er]:[er]])</f>
        <v>83.683203787225708</v>
      </c>
      <c r="DT6" s="36">
        <f>tbl_Shopping_Centre_Multi[[#This Row],[2.0* Max BF]]/100*IF(tbl_Shopping_Centre_Multi[[Small]:[Small]],tbl_Shopping_Centre_Multi[[ersmall]:[ersmall]],tbl_Shopping_Centre_Multi[[er]:[er]])</f>
        <v>92.981337541361896</v>
      </c>
      <c r="DU6" s="36">
        <f>tbl_Shopping_Centre_Multi[[#This Row],[1.5* Max BF]]/100*IF(tbl_Shopping_Centre_Multi[[Small]:[Small]],tbl_Shopping_Centre_Multi[[ersmall]:[ersmall]],tbl_Shopping_Centre_Multi[[er]:[er]])</f>
        <v>102.2794712954981</v>
      </c>
      <c r="DV6" s="36">
        <f>tbl_Shopping_Centre_Multi[[#This Row],[1.0* Max BF]]/100*IF(tbl_Shopping_Centre_Multi[[Small]:[Small]],tbl_Shopping_Centre_Multi[[ersmall]:[ersmall]],tbl_Shopping_Centre_Multi[[er]:[er]])</f>
        <v>111.57760504963429</v>
      </c>
      <c r="DW6" s="36">
        <f>tbl_Shopping_Centre_Multi[[#This Row],[0.0* Max BF]]/100*IF(tbl_Shopping_Centre_Multi[[Small]:[Small]],tbl_Shopping_Centre_Multi[[ersmall]:[ersmall]],tbl_Shopping_Centre_Multi[[er]:[er]])</f>
        <v>130.17387255790666</v>
      </c>
      <c r="DX6" s="44">
        <f>tbl_Shopping_Centre_Multi[[#This Row],[6.0* Max e]]*tbl_Shopping_Centre_Multi[[GLAR]:[GLAR]]</f>
        <v>173027.11140396955</v>
      </c>
      <c r="DY6" s="44">
        <f>tbl_Shopping_Centre_Multi[[#This Row],[5.5* Max e]]*tbl_Shopping_Centre_Multi[[GLAR]:[GLAR]]</f>
        <v>259540.66710595432</v>
      </c>
      <c r="DZ6" s="44">
        <f>tbl_Shopping_Centre_Multi[[#This Row],[5.0* Max e]]*tbl_Shopping_Centre_Multi[[GLAR]:[GLAR]]</f>
        <v>346054.22280793911</v>
      </c>
      <c r="EA6" s="44">
        <f>tbl_Shopping_Centre_Multi[[#This Row],[4.5* Max e]]*tbl_Shopping_Centre_Multi[[GLAR]:[GLAR]]</f>
        <v>432567.77850992378</v>
      </c>
      <c r="EB6" s="44">
        <f>tbl_Shopping_Centre_Multi[[#This Row],[4.0* Max e]]*tbl_Shopping_Centre_Multi[[GLAR]:[GLAR]]</f>
        <v>519081.33421190863</v>
      </c>
      <c r="EC6" s="44">
        <f>tbl_Shopping_Centre_Multi[[#This Row],[3.5* Max e]]*tbl_Shopping_Centre_Multi[[GLAR]:[GLAR]]</f>
        <v>605594.8899138933</v>
      </c>
      <c r="ED6" s="44">
        <f>tbl_Shopping_Centre_Multi[[#This Row],[3.0* Max e]]*tbl_Shopping_Centre_Multi[[GLAR]:[GLAR]]</f>
        <v>692108.44561587821</v>
      </c>
      <c r="EE6" s="44">
        <f>tbl_Shopping_Centre_Multi[[#This Row],[2.5* Max e]]*tbl_Shopping_Centre_Multi[[GLAR]:[GLAR]]</f>
        <v>778622.00131786289</v>
      </c>
      <c r="EF6" s="44">
        <f>tbl_Shopping_Centre_Multi[[#This Row],[2.0* Max e]]*tbl_Shopping_Centre_Multi[[GLAR]:[GLAR]]</f>
        <v>865135.55701984756</v>
      </c>
      <c r="EG6" s="44">
        <f>tbl_Shopping_Centre_Multi[[#This Row],[1.5* Max e]]*tbl_Shopping_Centre_Multi[[GLAR]:[GLAR]]</f>
        <v>951649.11272183247</v>
      </c>
      <c r="EH6" s="44">
        <f>tbl_Shopping_Centre_Multi[[#This Row],[1.0* Max e]]*tbl_Shopping_Centre_Multi[[GLAR]:[GLAR]]</f>
        <v>1038162.6684238173</v>
      </c>
      <c r="EI6" s="44">
        <f>tbl_Shopping_Centre_Multi[[#This Row],[0.0* Max e]]*tbl_Shopping_Centre_Multi[[GLAR]:[GLAR]]</f>
        <v>1211189.7798277866</v>
      </c>
      <c r="EJ6" s="44">
        <f>tbl_Shopping_Centre_Multi[[#This Row],[6.0* Max CO2]]/tbl_Shopping_Centre_Multi[[EffGHG]:[EffGHG]]</f>
        <v>791600.60995837452</v>
      </c>
      <c r="EK6" s="44">
        <f>tbl_Shopping_Centre_Multi[[#This Row],[5.5* Max CO2]]/tbl_Shopping_Centre_Multi[[EffGHG]:[EffGHG]]</f>
        <v>1187400.9149375618</v>
      </c>
      <c r="EL6" s="44">
        <f>tbl_Shopping_Centre_Multi[[#This Row],[5.0* Max CO2]]/tbl_Shopping_Centre_Multi[[EffGHG]:[EffGHG]]</f>
        <v>1583201.219916749</v>
      </c>
      <c r="EM6" s="44">
        <f>tbl_Shopping_Centre_Multi[[#This Row],[4.5* Max CO2]]/tbl_Shopping_Centre_Multi[[EffGHG]:[EffGHG]]</f>
        <v>1979001.524895936</v>
      </c>
      <c r="EN6" s="44">
        <f>tbl_Shopping_Centre_Multi[[#This Row],[4.0* Max CO2]]/tbl_Shopping_Centre_Multi[[EffGHG]:[EffGHG]]</f>
        <v>2374801.8298751237</v>
      </c>
      <c r="EO6" s="44">
        <f>tbl_Shopping_Centre_Multi[[#This Row],[3.5* Max CO2]]/tbl_Shopping_Centre_Multi[[EffGHG]:[EffGHG]]</f>
        <v>2770602.1348543102</v>
      </c>
      <c r="EP6" s="44">
        <f>tbl_Shopping_Centre_Multi[[#This Row],[3.0* Max CO2]]/tbl_Shopping_Centre_Multi[[EffGHG]:[EffGHG]]</f>
        <v>3166402.4398334981</v>
      </c>
      <c r="EQ6" s="44">
        <f>tbl_Shopping_Centre_Multi[[#This Row],[2.5* Max CO2]]/tbl_Shopping_Centre_Multi[[EffGHG]:[EffGHG]]</f>
        <v>3562202.7448126851</v>
      </c>
      <c r="ER6" s="44">
        <f>tbl_Shopping_Centre_Multi[[#This Row],[2.0* Max CO2]]/tbl_Shopping_Centre_Multi[[EffGHG]:[EffGHG]]</f>
        <v>3958003.049791872</v>
      </c>
      <c r="ES6" s="44">
        <f>tbl_Shopping_Centre_Multi[[#This Row],[1.5* Max CO2]]/tbl_Shopping_Centre_Multi[[EffGHG]:[EffGHG]]</f>
        <v>4353803.3547710599</v>
      </c>
      <c r="ET6" s="44">
        <f>tbl_Shopping_Centre_Multi[[#This Row],[1.0* Max CO2]]/tbl_Shopping_Centre_Multi[[EffGHG]:[EffGHG]]</f>
        <v>4749603.6597502474</v>
      </c>
      <c r="EU6" s="44">
        <f>tbl_Shopping_Centre_Multi[[#This Row],[0.0* Max CO2]]/tbl_Shopping_Centre_Multi[[EffGHG]:[EffGHG]]</f>
        <v>5541204.2697086204</v>
      </c>
      <c r="EV6" s="44">
        <f>ROUNDDOWN(tbl_Shopping_Centre_Multi[[#This Row],[6.0* Max Energy (MJ)]]*tbl_Shopping_Centre_Multi[[Electricity (%)]:[Electricity (%)]]/tbl_Shopping_Centre_Multi[[CFelec]:[CFelec]],0)</f>
        <v>182507</v>
      </c>
      <c r="EW6" s="44">
        <f>ROUNDDOWN(tbl_Shopping_Centre_Multi[[#This Row],[5.5* Max Energy (MJ)]]*tbl_Shopping_Centre_Multi[[Electricity (%)]:[Electricity (%)]]/tbl_Shopping_Centre_Multi[[CFelec]:[CFelec]],0)</f>
        <v>273761</v>
      </c>
      <c r="EX6" s="44">
        <f>ROUNDDOWN(tbl_Shopping_Centre_Multi[[#This Row],[5.0* Max Energy (MJ)]]*tbl_Shopping_Centre_Multi[[Electricity (%)]:[Electricity (%)]]/tbl_Shopping_Centre_Multi[[CFelec]:[CFelec]],0)</f>
        <v>365015</v>
      </c>
      <c r="EY6" s="44">
        <f>ROUNDDOWN(tbl_Shopping_Centre_Multi[[#This Row],[4.5* Max Energy (MJ)]]*tbl_Shopping_Centre_Multi[[Electricity (%)]:[Electricity (%)]]/tbl_Shopping_Centre_Multi[[CFelec]:[CFelec]],0)</f>
        <v>456269</v>
      </c>
      <c r="EZ6" s="44">
        <f>ROUNDDOWN(tbl_Shopping_Centre_Multi[[#This Row],[4.0* Max Energy (MJ)]]*tbl_Shopping_Centre_Multi[[Electricity (%)]:[Electricity (%)]]/tbl_Shopping_Centre_Multi[[CFelec]:[CFelec]],0)</f>
        <v>547523</v>
      </c>
      <c r="FA6" s="44">
        <f>ROUNDDOWN(tbl_Shopping_Centre_Multi[[#This Row],[3.5* Max Energy (MJ)]]*tbl_Shopping_Centre_Multi[[Electricity (%)]:[Electricity (%)]]/tbl_Shopping_Centre_Multi[[CFelec]:[CFelec]],0)</f>
        <v>638777</v>
      </c>
      <c r="FB6" s="44">
        <f>ROUNDDOWN(tbl_Shopping_Centre_Multi[[#This Row],[3.0* Max Energy (MJ)]]*tbl_Shopping_Centre_Multi[[Electricity (%)]:[Electricity (%)]]/tbl_Shopping_Centre_Multi[[CFelec]:[CFelec]],0)</f>
        <v>730031</v>
      </c>
      <c r="FC6" s="44">
        <f>ROUNDDOWN(tbl_Shopping_Centre_Multi[[#This Row],[2.5* Max Energy (MJ)]]*tbl_Shopping_Centre_Multi[[Electricity (%)]:[Electricity (%)]]/tbl_Shopping_Centre_Multi[[CFelec]:[CFelec]],0)</f>
        <v>821285</v>
      </c>
      <c r="FD6" s="44">
        <f>ROUNDDOWN(tbl_Shopping_Centre_Multi[[#This Row],[2.0* Max Energy (MJ)]]*tbl_Shopping_Centre_Multi[[Electricity (%)]:[Electricity (%)]]/tbl_Shopping_Centre_Multi[[CFelec]:[CFelec]],0)</f>
        <v>912539</v>
      </c>
      <c r="FE6" s="44">
        <f>ROUNDDOWN(tbl_Shopping_Centre_Multi[[#This Row],[1.5* Max Energy (MJ)]]*tbl_Shopping_Centre_Multi[[Electricity (%)]:[Electricity (%)]]/tbl_Shopping_Centre_Multi[[CFelec]:[CFelec]],0)</f>
        <v>1003793</v>
      </c>
      <c r="FF6" s="44">
        <f>ROUNDDOWN(tbl_Shopping_Centre_Multi[[#This Row],[1.0* Max Energy (MJ)]]*tbl_Shopping_Centre_Multi[[Electricity (%)]:[Electricity (%)]]/tbl_Shopping_Centre_Multi[[CFelec]:[CFelec]],0)</f>
        <v>1095047</v>
      </c>
      <c r="FG6" s="44">
        <f>ROUNDDOWN(tbl_Shopping_Centre_Multi[[#This Row],[0.0* Max Energy (MJ)]]*tbl_Shopping_Centre_Multi[[Electricity (%)]:[Electricity (%)]]/tbl_Shopping_Centre_Multi[[CFelec]:[CFelec]],0)</f>
        <v>1277555</v>
      </c>
      <c r="FH6" s="44">
        <f>ROUNDDOWN(tbl_Shopping_Centre_Multi[[#This Row],[6.0* Max Energy (MJ)]]*tbl_Shopping_Centre_Multi[[Gas (%)]:[Gas (%)]],0)</f>
        <v>126656</v>
      </c>
      <c r="FI6" s="44">
        <f>ROUNDDOWN(tbl_Shopping_Centre_Multi[[#This Row],[5.5* Max Energy (MJ)]]*tbl_Shopping_Centre_Multi[[Gas (%)]:[Gas (%)]],0)</f>
        <v>189984</v>
      </c>
      <c r="FJ6" s="44">
        <f>ROUNDDOWN(tbl_Shopping_Centre_Multi[[#This Row],[5.0* Max Energy (MJ)]]*tbl_Shopping_Centre_Multi[[Gas (%)]:[Gas (%)]],0)</f>
        <v>253312</v>
      </c>
      <c r="FK6" s="44">
        <f>ROUNDDOWN(tbl_Shopping_Centre_Multi[[#This Row],[4.5* Max Energy (MJ)]]*tbl_Shopping_Centre_Multi[[Gas (%)]:[Gas (%)]],0)</f>
        <v>316640</v>
      </c>
      <c r="FL6" s="44">
        <f>ROUNDDOWN(tbl_Shopping_Centre_Multi[[#This Row],[4.0* Max Energy (MJ)]]*tbl_Shopping_Centre_Multi[[Gas (%)]:[Gas (%)]],0)</f>
        <v>379968</v>
      </c>
      <c r="FM6" s="44">
        <f>ROUNDDOWN(tbl_Shopping_Centre_Multi[[#This Row],[3.5* Max Energy (MJ)]]*tbl_Shopping_Centre_Multi[[Gas (%)]:[Gas (%)]],0)</f>
        <v>443296</v>
      </c>
      <c r="FN6" s="44">
        <f>ROUNDDOWN(tbl_Shopping_Centre_Multi[[#This Row],[3.0* Max Energy (MJ)]]*tbl_Shopping_Centre_Multi[[Gas (%)]:[Gas (%)]],0)</f>
        <v>506624</v>
      </c>
      <c r="FO6" s="44">
        <f>ROUNDDOWN(tbl_Shopping_Centre_Multi[[#This Row],[2.5* Max Energy (MJ)]]*tbl_Shopping_Centre_Multi[[Gas (%)]:[Gas (%)]],0)</f>
        <v>569952</v>
      </c>
      <c r="FP6" s="44">
        <f>ROUNDDOWN(tbl_Shopping_Centre_Multi[[#This Row],[2.0* Max Energy (MJ)]]*tbl_Shopping_Centre_Multi[[Gas (%)]:[Gas (%)]],0)</f>
        <v>633280</v>
      </c>
      <c r="FQ6" s="44">
        <f>ROUNDDOWN(tbl_Shopping_Centre_Multi[[#This Row],[1.5* Max Energy (MJ)]]*tbl_Shopping_Centre_Multi[[Gas (%)]:[Gas (%)]],0)</f>
        <v>696608</v>
      </c>
      <c r="FR6" s="44">
        <f>ROUNDDOWN(tbl_Shopping_Centre_Multi[[#This Row],[1.0* Max Energy (MJ)]]*tbl_Shopping_Centre_Multi[[Gas (%)]:[Gas (%)]],0)</f>
        <v>759936</v>
      </c>
      <c r="FS6" s="44">
        <f>ROUNDDOWN(tbl_Shopping_Centre_Multi[[#This Row],[0.0* Max Energy (MJ)]]*tbl_Shopping_Centre_Multi[[Gas (%)]:[Gas (%)]],0)</f>
        <v>886592</v>
      </c>
      <c r="FT6" s="44">
        <f>ROUNDDOWN(tbl_Shopping_Centre_Multi[[#This Row],[6.0* Max Energy (MJ)]]*tbl_Shopping_Centre_Multi[[Diesel (%)]:[Diesel (%)]]/tbl_Shopping_Centre_Multi[[CFdiesel]:[CFdiesel]],0)</f>
        <v>205</v>
      </c>
      <c r="FU6" s="44">
        <f>ROUNDDOWN(tbl_Shopping_Centre_Multi[[#This Row],[5.5* Max Energy (MJ)]]*tbl_Shopping_Centre_Multi[[Diesel (%)]:[Diesel (%)]]/tbl_Shopping_Centre_Multi[[CFdiesel]:[CFdiesel]],0)</f>
        <v>307</v>
      </c>
      <c r="FV6" s="44">
        <f>ROUNDDOWN(tbl_Shopping_Centre_Multi[[#This Row],[5.0* Max Energy (MJ)]]*tbl_Shopping_Centre_Multi[[Diesel (%)]:[Diesel (%)]]/tbl_Shopping_Centre_Multi[[CFdiesel]:[CFdiesel]],0)</f>
        <v>410</v>
      </c>
      <c r="FW6" s="44">
        <f>ROUNDDOWN(tbl_Shopping_Centre_Multi[[#This Row],[4.5* Max Energy (MJ)]]*tbl_Shopping_Centre_Multi[[Diesel (%)]:[Diesel (%)]]/tbl_Shopping_Centre_Multi[[CFdiesel]:[CFdiesel]],0)</f>
        <v>512</v>
      </c>
      <c r="FX6" s="44">
        <f>ROUNDDOWN(tbl_Shopping_Centre_Multi[[#This Row],[4.0* Max Energy (MJ)]]*tbl_Shopping_Centre_Multi[[Diesel (%)]:[Diesel (%)]]/tbl_Shopping_Centre_Multi[[CFdiesel]:[CFdiesel]],0)</f>
        <v>615</v>
      </c>
      <c r="FY6" s="44">
        <f>ROUNDDOWN(tbl_Shopping_Centre_Multi[[#This Row],[3.5* Max Energy (MJ)]]*tbl_Shopping_Centre_Multi[[Diesel (%)]:[Diesel (%)]]/tbl_Shopping_Centre_Multi[[CFdiesel]:[CFdiesel]],0)</f>
        <v>717</v>
      </c>
      <c r="FZ6" s="44">
        <f>ROUNDDOWN(tbl_Shopping_Centre_Multi[[#This Row],[3.0* Max Energy (MJ)]]*tbl_Shopping_Centre_Multi[[Diesel (%)]:[Diesel (%)]]/tbl_Shopping_Centre_Multi[[CFdiesel]:[CFdiesel]],0)</f>
        <v>820</v>
      </c>
      <c r="GA6" s="44">
        <f>ROUNDDOWN(tbl_Shopping_Centre_Multi[[#This Row],[2.5* Max Energy (MJ)]]*tbl_Shopping_Centre_Multi[[Diesel (%)]:[Diesel (%)]]/tbl_Shopping_Centre_Multi[[CFdiesel]:[CFdiesel]],0)</f>
        <v>922</v>
      </c>
      <c r="GB6" s="44">
        <f>ROUNDDOWN(tbl_Shopping_Centre_Multi[[#This Row],[2.0* Max Energy (MJ)]]*tbl_Shopping_Centre_Multi[[Diesel (%)]:[Diesel (%)]]/tbl_Shopping_Centre_Multi[[CFdiesel]:[CFdiesel]],0)</f>
        <v>1025</v>
      </c>
      <c r="GC6" s="44">
        <f>ROUNDDOWN(tbl_Shopping_Centre_Multi[[#This Row],[1.5* Max Energy (MJ)]]*tbl_Shopping_Centre_Multi[[Diesel (%)]:[Diesel (%)]]/tbl_Shopping_Centre_Multi[[CFdiesel]:[CFdiesel]],0)</f>
        <v>1127</v>
      </c>
      <c r="GD6" s="44">
        <f>ROUNDDOWN(tbl_Shopping_Centre_Multi[[#This Row],[1.0* Max Energy (MJ)]]*tbl_Shopping_Centre_Multi[[Diesel (%)]:[Diesel (%)]]/tbl_Shopping_Centre_Multi[[CFdiesel]:[CFdiesel]],0)</f>
        <v>1230</v>
      </c>
      <c r="GE6" s="44">
        <f>ROUNDDOWN(tbl_Shopping_Centre_Multi[[#This Row],[0.0* Max Energy (MJ)]]*tbl_Shopping_Centre_Multi[[Diesel (%)]:[Diesel (%)]]/tbl_Shopping_Centre_Multi[[CFdiesel]:[CFdiesel]],0)</f>
        <v>1435</v>
      </c>
      <c r="GF6" s="44">
        <f>ROUNDDOWN(tbl_Shopping_Centre_Multi[[#This Row],[6.0* Max BF]]/100*IF(tbl_Shopping_Centre_Multi[[Small]:[Small]],tbl_Shopping_Centre_Multi[[wrsmall]:[wrsmall]],tbl_Shopping_Centre_Multi[[wr]:[wr]])*tbl_Shopping_Centre_Multi[[GLAR]:[GLAR]],0)</f>
        <v>2419</v>
      </c>
      <c r="GG6" s="44">
        <f>ROUNDDOWN(tbl_Shopping_Centre_Multi[[#This Row],[5.5* Max BF]]/100*IF(tbl_Shopping_Centre_Multi[[Small]:[Small]],tbl_Shopping_Centre_Multi[[wrsmall]:[wrsmall]],tbl_Shopping_Centre_Multi[[wr]:[wr]])*tbl_Shopping_Centre_Multi[[GLAR]:[GLAR]],0)</f>
        <v>3628</v>
      </c>
      <c r="GH6" s="44">
        <f>ROUNDDOWN(tbl_Shopping_Centre_Multi[[#This Row],[5.0* Max BF]]/100*IF(tbl_Shopping_Centre_Multi[[Small]:[Small]],tbl_Shopping_Centre_Multi[[wrsmall]:[wrsmall]],tbl_Shopping_Centre_Multi[[wr]:[wr]])*tbl_Shopping_Centre_Multi[[GLAR]:[GLAR]],0)</f>
        <v>4838</v>
      </c>
      <c r="GI6" s="44">
        <f>ROUNDDOWN(tbl_Shopping_Centre_Multi[[#This Row],[4.5* Max BF]]/100*IF(tbl_Shopping_Centre_Multi[[Small]:[Small]],tbl_Shopping_Centre_Multi[[wrsmall]:[wrsmall]],tbl_Shopping_Centre_Multi[[wr]:[wr]])*tbl_Shopping_Centre_Multi[[GLAR]:[GLAR]],0)</f>
        <v>6047</v>
      </c>
      <c r="GJ6" s="44">
        <f>ROUNDDOWN(tbl_Shopping_Centre_Multi[[#This Row],[4.0* Max BF]]/100*IF(tbl_Shopping_Centre_Multi[[Small]:[Small]],tbl_Shopping_Centre_Multi[[wrsmall]:[wrsmall]],tbl_Shopping_Centre_Multi[[wr]:[wr]])*tbl_Shopping_Centre_Multi[[GLAR]:[GLAR]],0)</f>
        <v>7257</v>
      </c>
      <c r="GK6" s="44">
        <f>ROUNDDOWN(tbl_Shopping_Centre_Multi[[#This Row],[3.5* Max BF]]/100*IF(tbl_Shopping_Centre_Multi[[Small]:[Small]],tbl_Shopping_Centre_Multi[[wrsmall]:[wrsmall]],tbl_Shopping_Centre_Multi[[wr]:[wr]])*tbl_Shopping_Centre_Multi[[GLAR]:[GLAR]],0)</f>
        <v>8466</v>
      </c>
      <c r="GL6" s="44">
        <f>ROUNDDOWN(tbl_Shopping_Centre_Multi[[#This Row],[3.0* Max BF]]/100*IF(tbl_Shopping_Centre_Multi[[Small]:[Small]],tbl_Shopping_Centre_Multi[[wrsmall]:[wrsmall]],tbl_Shopping_Centre_Multi[[wr]:[wr]])*tbl_Shopping_Centre_Multi[[GLAR]:[GLAR]],0)</f>
        <v>9676</v>
      </c>
      <c r="GM6" s="44">
        <f>ROUNDDOWN(tbl_Shopping_Centre_Multi[[#This Row],[2.5* Max BF]]/100*IF(tbl_Shopping_Centre_Multi[[Small]:[Small]],tbl_Shopping_Centre_Multi[[wrsmall]:[wrsmall]],tbl_Shopping_Centre_Multi[[wr]:[wr]])*tbl_Shopping_Centre_Multi[[GLAR]:[GLAR]],0)</f>
        <v>10886</v>
      </c>
      <c r="GN6" s="44">
        <f>ROUNDDOWN(tbl_Shopping_Centre_Multi[[#This Row],[2.0* Max BF]]/100*IF(tbl_Shopping_Centre_Multi[[Small]:[Small]],tbl_Shopping_Centre_Multi[[wrsmall]:[wrsmall]],tbl_Shopping_Centre_Multi[[wr]:[wr]])*tbl_Shopping_Centre_Multi[[GLAR]:[GLAR]],0)</f>
        <v>12095</v>
      </c>
      <c r="GO6" s="44">
        <f>ROUNDDOWN(tbl_Shopping_Centre_Multi[[#This Row],[1.5* Max BF]]/100*IF(tbl_Shopping_Centre_Multi[[Small]:[Small]],tbl_Shopping_Centre_Multi[[wrsmall]:[wrsmall]],tbl_Shopping_Centre_Multi[[wr]:[wr]])*tbl_Shopping_Centre_Multi[[GLAR]:[GLAR]],0)</f>
        <v>13305</v>
      </c>
      <c r="GP6" s="44">
        <f>ROUNDDOWN(tbl_Shopping_Centre_Multi[[#This Row],[1.0* Max BF]]/100*IF(tbl_Shopping_Centre_Multi[[Small]:[Small]],tbl_Shopping_Centre_Multi[[wrsmall]:[wrsmall]],tbl_Shopping_Centre_Multi[[wr]:[wr]])*tbl_Shopping_Centre_Multi[[GLAR]:[GLAR]],0)</f>
        <v>14514</v>
      </c>
      <c r="GQ6" s="44">
        <f>ROUNDDOWN(tbl_Shopping_Centre_Multi[[#This Row],[0.0* Max BF]]/100*IF(tbl_Shopping_Centre_Multi[[Small]:[Small]],tbl_Shopping_Centre_Multi[[wrsmall]:[wrsmall]],tbl_Shopping_Centre_Multi[[wr]:[wr]])*tbl_Shopping_Centre_Multi[[GLAR]:[GLAR]],0)</f>
        <v>16933</v>
      </c>
      <c r="GR6" s="44">
        <f>SUM(tbl_Shopping_Centre_Multi[[#This Row],[Electricity]]*(1-tbl_Shopping_Centre_Multi[[#This Row],[GP]])*tbl_Shopping_Centre_Multi[[#This Row],[SGEe Scopes 1,2&amp;3]],
tbl_Shopping_Centre_Multi[[#This Row],[Gas]]*tbl_Shopping_Centre_Multi[[#This Row],[SGEg Scopes 1,2&amp;3]],
tbl_Shopping_Centre_Multi[[#This Row],[Diesel]]*tbl_Shopping_Centre_Multi[[#This Row],[SGEd Scopes 1,2&amp;3]])</f>
        <v>456993.51340000005</v>
      </c>
      <c r="GS6" s="44">
        <f>SUM(tbl_Shopping_Centre_Multi[[#This Row],[Electricity]]*(1-tbl_Shopping_Centre_Multi[[#This Row],[GP]])*tbl_Shopping_Centre_Multi[[#This Row],[SGEe Scopes 1&amp;2]],
tbl_Shopping_Centre_Multi[[#This Row],[Gas]]*tbl_Shopping_Centre_Multi[[#This Row],[SGEg Scopes 1&amp;2]],
tbl_Shopping_Centre_Multi[[#This Row],[Diesel]]*tbl_Shopping_Centre_Multi[[#This Row],[SGEd Scopes 1&amp;2]])</f>
        <v>409566.44972000003</v>
      </c>
      <c r="GT6" s="45">
        <f>IF(tbl_Shopping_Centre_Multi[[#This Row],[Energy Star Decimal (with GP)]]&lt;1,0,MIN(ROUNDDOWN(tbl_Shopping_Centre_Multi[[#This Row],[Energy Star Decimal (with GP)]]*2,0)/2,6))</f>
        <v>4</v>
      </c>
      <c r="GU6" s="45">
        <f>((tbl_Shopping_Centre_Multi[[#This Row],[e-BF (with GP)]]*(-6/159)+7)*2)/2</f>
        <v>4.2624366808383698</v>
      </c>
      <c r="GV6" s="45">
        <f>IF(tbl_Shopping_Centre_Multi[[#This Row],[Energy Star Decimal (no GP)]]&lt;1,0,MIN(ROUNDDOWN(tbl_Shopping_Centre_Multi[[#This Row],[Energy Star Decimal (no GP)]]*2,0)/2,6))</f>
        <v>4</v>
      </c>
      <c r="GW6" s="45">
        <f>((tbl_Shopping_Centre_Multi[[#This Row],[e-BF (no GP)]]*(-6/159)+7)*2)/2</f>
        <v>4.2624366808383698</v>
      </c>
      <c r="GX6" s="45">
        <f>SUM(tbl_Shopping_Centre_Multi[[#This Row],[Electricity]]*(1-tbl_Shopping_Centre_Multi[[#This Row],[GP]])*tbl_Shopping_Centre_Multi[[#This Row],[SGEe]],
tbl_Shopping_Centre_Multi[[#This Row],[Gas]]*tbl_Shopping_Centre_Multi[[#This Row],[SGEg]],
tbl_Shopping_Centre_Multi[[#This Row],[Diesel]]*tbl_Shopping_Centre_Multi[[#This Row],[SGEd]])
/tbl_Shopping_Centre_Multi[[#This Row],[GLAR]]</f>
        <v>50.90845980396373</v>
      </c>
      <c r="GY6" s="45">
        <f>SUM(tbl_Shopping_Centre_Multi[[#This Row],[Electricity]]*tbl_Shopping_Centre_Multi[[#This Row],[SGEe]],
tbl_Shopping_Centre_Multi[[#This Row],[Gas]]*tbl_Shopping_Centre_Multi[[#This Row],[SGEg]],
tbl_Shopping_Centre_Multi[[#This Row],[Diesel]]*tbl_Shopping_Centre_Multi[[#This Row],[SGEd]])
/tbl_Shopping_Centre_Multi[[#This Row],[GLAR]]</f>
        <v>50.90845980396373</v>
      </c>
      <c r="GZ6" s="45">
        <f>tbl_Shopping_Centre_Multi[[#This Row],[e (with GP)]]/IF(tbl_Shopping_Centre_Multi[[#This Row],[Small]]=TRUE,tbl_Shopping_Centre_Multi[[#This Row],[ersmall]],tbl_Shopping_Centre_Multi[[#This Row],[er]])*100</f>
        <v>72.545427957783218</v>
      </c>
      <c r="HA6" s="45">
        <f>tbl_Shopping_Centre_Multi[[#This Row],[e (no GP)]]/IF(tbl_Shopping_Centre_Multi[[#This Row],[Small]]=TRUE,tbl_Shopping_Centre_Multi[[#This Row],[ersmall]],tbl_Shopping_Centre_Multi[[#This Row],[er]])*100</f>
        <v>72.545427957783218</v>
      </c>
      <c r="HB6" s="45">
        <f>IF(tbl_Shopping_Centre_Multi[[#This Row],[Water Star Decimal (with recyc)]]&lt;1,0,MIN(ROUNDDOWN(tbl_Shopping_Centre_Multi[[#This Row],[Water Star Decimal (with recyc)]]*2,0)/2,6))</f>
        <v>0</v>
      </c>
      <c r="HC6" s="45">
        <f>((tbl_Shopping_Centre_Multi[[#This Row],[w-BF (with recyc)]]*(-6/159)+7)*2)/2</f>
        <v>-2.8221928933407892</v>
      </c>
      <c r="HD6" s="45">
        <f>IF(tbl_Shopping_Centre_Multi[[#This Row],[Water Star Decimal (no recyc)]]&lt;1,0,MIN(ROUNDDOWN(tbl_Shopping_Centre_Multi[[#This Row],[Water Star Decimal (no recyc)]]*2,0)/2,6))</f>
        <v>0</v>
      </c>
      <c r="HE6" s="45">
        <f>((tbl_Shopping_Centre_Multi[[#This Row],[w-BF (no recyc)]]*(-6/159)+7)*2)/2</f>
        <v>-2.8221928933407892</v>
      </c>
      <c r="HF6" s="36">
        <f>tbl_Shopping_Centre_Multi[[#This Row],[Water]]*(1-tbl_Shopping_Centre_Multi[[#This Row],[RW]])/tbl_Shopping_Centre_Multi[[#This Row],[GLAR]]</f>
        <v>2.5537380164223378</v>
      </c>
      <c r="HG6" s="36">
        <f>tbl_Shopping_Centre_Multi[[#This Row],[Water]]/tbl_Shopping_Centre_Multi[[#This Row],[GLAR]]</f>
        <v>2.5537380164223378</v>
      </c>
      <c r="HH6" s="36">
        <f>tbl_Shopping_Centre_Multi[[#This Row],[w (with recyc)]]/IF(tbl_Shopping_Centre_Multi[[#This Row],[Small]]=TRUE,tbl_Shopping_Centre_Multi[[#This Row],[wrsmall]],tbl_Shopping_Centre_Multi[[#This Row],[wr]])*100</f>
        <v>260.28811167353092</v>
      </c>
      <c r="HI6" s="36">
        <f>tbl_Shopping_Centre_Multi[[#This Row],[w (no recyc)]]/IF(tbl_Shopping_Centre_Multi[[#This Row],[Small]]=TRUE,tbl_Shopping_Centre_Multi[[#This Row],[wrsmall]],tbl_Shopping_Centre_Multi[[#This Row],[wr]])*100</f>
        <v>260.28811167353092</v>
      </c>
    </row>
  </sheetData>
  <sheetProtection selectLockedCells="1"/>
  <phoneticPr fontId="45" type="noConversion"/>
  <dataValidations disablePrompts="1" count="2">
    <dataValidation type="list" allowBlank="1" showInputMessage="1" showErrorMessage="1" sqref="D4:D6" xr:uid="{02D48B71-87C0-4479-9D01-0FE3212DB256}">
      <formula1>List_Shopping_Centre_Floor_Type</formula1>
    </dataValidation>
    <dataValidation type="decimal" allowBlank="1" showInputMessage="1" showErrorMessage="1" sqref="T65088:V65089 T130624:V130625 T196160:V196161 T261696:V261697 T327232:V327233 T392768:V392769 T458304:V458305 T523840:V523841 T589376:V589377 T654912:V654913 T720448:V720449 T785984:V785985 T851520:V851521 T917056:V917057 T982592:V982593" xr:uid="{F9C90663-3BAB-430E-B6E3-B0D983237C1C}">
      <formula1>0</formula1>
      <formula2>6</formula2>
    </dataValidation>
  </dataValidations>
  <pageMargins left="0.42" right="0.44" top="0.56000000000000005" bottom="0.6" header="0.34" footer="0.4"/>
  <pageSetup paperSize="9" orientation="portrait" blackAndWhite="1" r:id="rId1"/>
  <headerFooter alignWithMargins="0">
    <oddFooter>&amp;R&amp;D</oddFooter>
  </headerFooter>
  <ignoredErrors>
    <ignoredError sqref="AF4:BH4 A4:Q4 AF6:AK6 AF5:AK5" unlockedFormula="1"/>
  </ignoredErrors>
  <tableParts count="1">
    <tablePart r:id="rId2"/>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724F8-69BB-423B-8A63-55CECDDE1083}">
  <sheetPr codeName="Sheet7">
    <tabColor theme="5"/>
  </sheetPr>
  <dimension ref="A1:S213"/>
  <sheetViews>
    <sheetView topLeftCell="A193" workbookViewId="0">
      <selection activeCell="J218" sqref="J218"/>
    </sheetView>
  </sheetViews>
  <sheetFormatPr defaultColWidth="9.28515625" defaultRowHeight="14.45"/>
  <cols>
    <col min="1" max="1" width="9.7109375" style="376" customWidth="1"/>
    <col min="2" max="2" width="12.7109375" style="376" bestFit="1" customWidth="1"/>
    <col min="3" max="3" width="14.28515625" style="376" bestFit="1" customWidth="1"/>
    <col min="4" max="4" width="12.28515625" style="376" bestFit="1" customWidth="1"/>
    <col min="5" max="5" width="12" style="376" bestFit="1" customWidth="1"/>
    <col min="6" max="7" width="9.7109375" style="376" customWidth="1"/>
    <col min="8" max="8" width="12.5703125" style="376" bestFit="1" customWidth="1"/>
    <col min="9" max="9" width="11" style="376" bestFit="1" customWidth="1"/>
    <col min="10" max="10" width="21" style="376" customWidth="1"/>
    <col min="11" max="11" width="10.7109375" style="376" bestFit="1" customWidth="1"/>
    <col min="12" max="12" width="13.28515625" style="376" bestFit="1" customWidth="1"/>
    <col min="13" max="16384" width="9.28515625" style="376"/>
  </cols>
  <sheetData>
    <row r="1" spans="1:19">
      <c r="A1" s="407" t="s">
        <v>1074</v>
      </c>
      <c r="B1" s="407"/>
      <c r="C1" s="407"/>
      <c r="D1" s="407"/>
      <c r="E1" s="407"/>
      <c r="F1" s="166"/>
      <c r="G1" s="609"/>
      <c r="H1" s="609"/>
      <c r="I1" s="609"/>
      <c r="J1" s="609"/>
      <c r="K1" s="609"/>
      <c r="L1" s="609"/>
      <c r="M1" s="609"/>
      <c r="N1" s="609"/>
      <c r="O1" s="609"/>
      <c r="P1" s="609"/>
      <c r="Q1" s="609"/>
      <c r="R1" s="609"/>
      <c r="S1" s="609"/>
    </row>
    <row r="2" spans="1:19" ht="69" customHeight="1">
      <c r="A2" s="855" t="s">
        <v>1075</v>
      </c>
      <c r="B2" s="855"/>
      <c r="C2" s="855"/>
      <c r="D2" s="855"/>
      <c r="E2" s="855"/>
      <c r="F2" s="408"/>
      <c r="G2" s="609"/>
      <c r="H2" s="609"/>
      <c r="I2" s="609"/>
      <c r="J2" s="609"/>
      <c r="K2" s="609"/>
      <c r="L2" s="609"/>
      <c r="M2" s="609"/>
      <c r="N2" s="609"/>
      <c r="O2" s="609"/>
      <c r="P2" s="609"/>
      <c r="Q2" s="609"/>
      <c r="R2" s="609"/>
      <c r="S2" s="609"/>
    </row>
    <row r="3" spans="1:19">
      <c r="A3" s="409"/>
      <c r="B3" s="166"/>
      <c r="C3" s="166"/>
      <c r="D3" s="166"/>
      <c r="E3" s="166"/>
      <c r="F3" s="166"/>
      <c r="G3" s="609"/>
      <c r="H3" s="609"/>
      <c r="I3" s="609"/>
      <c r="J3" s="609"/>
      <c r="K3" s="609"/>
      <c r="L3" s="609"/>
      <c r="M3" s="609"/>
      <c r="N3" s="609"/>
      <c r="O3" s="609"/>
      <c r="P3" s="609"/>
      <c r="Q3" s="609"/>
      <c r="R3" s="609"/>
      <c r="S3" s="609"/>
    </row>
    <row r="4" spans="1:19">
      <c r="A4" s="609"/>
      <c r="B4" s="609"/>
      <c r="C4" s="609"/>
      <c r="D4" s="609"/>
      <c r="E4" s="609"/>
      <c r="F4" s="609"/>
      <c r="G4" s="609"/>
      <c r="H4" s="609"/>
      <c r="I4" s="609"/>
      <c r="J4" s="609"/>
      <c r="K4" s="609"/>
      <c r="L4" s="361" t="s">
        <v>1076</v>
      </c>
      <c r="M4" s="361"/>
      <c r="N4" s="609" t="s">
        <v>1077</v>
      </c>
      <c r="O4" s="609"/>
      <c r="P4" s="609"/>
      <c r="Q4" s="609"/>
      <c r="R4" s="609"/>
      <c r="S4" s="609"/>
    </row>
    <row r="5" spans="1:19">
      <c r="A5" s="410" t="s">
        <v>1078</v>
      </c>
      <c r="B5" s="410"/>
      <c r="C5" s="410"/>
      <c r="D5" s="410"/>
      <c r="E5" s="410"/>
      <c r="F5" s="609"/>
      <c r="G5" s="609"/>
      <c r="H5" s="609"/>
      <c r="I5" s="609"/>
      <c r="J5" s="609"/>
      <c r="K5" s="609"/>
      <c r="L5" s="609" t="s">
        <v>1079</v>
      </c>
      <c r="M5" s="609" t="s">
        <v>1080</v>
      </c>
      <c r="N5" s="609"/>
      <c r="O5" s="609"/>
      <c r="P5" s="321" t="s">
        <v>1081</v>
      </c>
      <c r="Q5" s="321"/>
      <c r="R5" s="609"/>
      <c r="S5" s="609"/>
    </row>
    <row r="6" spans="1:19" ht="28.9">
      <c r="A6" s="643"/>
      <c r="B6" s="411" t="s">
        <v>1082</v>
      </c>
      <c r="C6" s="411" t="s">
        <v>1083</v>
      </c>
      <c r="D6" s="411" t="s">
        <v>1084</v>
      </c>
      <c r="E6" s="411" t="s">
        <v>1085</v>
      </c>
      <c r="F6" s="411" t="s">
        <v>1086</v>
      </c>
      <c r="G6" s="609"/>
      <c r="H6" s="609"/>
      <c r="I6" s="609"/>
      <c r="J6" s="609"/>
      <c r="K6" s="609"/>
      <c r="L6" s="609">
        <v>0.36</v>
      </c>
      <c r="M6" s="609">
        <v>0.17</v>
      </c>
      <c r="N6" s="609"/>
      <c r="O6" s="609"/>
      <c r="P6" s="321" t="s">
        <v>1087</v>
      </c>
      <c r="Q6" s="321" t="s">
        <v>1088</v>
      </c>
      <c r="R6" s="609"/>
      <c r="S6" s="609"/>
    </row>
    <row r="7" spans="1:19">
      <c r="A7" s="412"/>
      <c r="B7" s="412" t="s">
        <v>1089</v>
      </c>
      <c r="C7" s="412" t="s">
        <v>1090</v>
      </c>
      <c r="D7" s="412" t="s">
        <v>1091</v>
      </c>
      <c r="E7" s="412" t="s">
        <v>1092</v>
      </c>
      <c r="F7" s="412" t="s">
        <v>1091</v>
      </c>
      <c r="G7" s="609"/>
      <c r="H7" s="609"/>
      <c r="I7" s="609"/>
      <c r="J7" s="609"/>
      <c r="K7" s="609"/>
      <c r="L7" s="609"/>
      <c r="M7" s="609"/>
      <c r="N7" s="609"/>
      <c r="O7" s="609"/>
      <c r="P7" s="321" t="s">
        <v>1093</v>
      </c>
      <c r="Q7" s="321">
        <v>0.36</v>
      </c>
      <c r="R7" s="609"/>
      <c r="S7" s="609"/>
    </row>
    <row r="8" spans="1:19">
      <c r="A8" s="413" t="s">
        <v>327</v>
      </c>
      <c r="B8" s="414" t="s">
        <v>1094</v>
      </c>
      <c r="C8" s="414" t="s">
        <v>1095</v>
      </c>
      <c r="D8" s="414" t="s">
        <v>1096</v>
      </c>
      <c r="E8" s="415" t="s">
        <v>1097</v>
      </c>
      <c r="F8" s="416" t="s">
        <v>1098</v>
      </c>
      <c r="G8" s="609"/>
      <c r="H8" s="609"/>
      <c r="I8" s="609" t="s">
        <v>1099</v>
      </c>
      <c r="J8" s="609" t="s">
        <v>1100</v>
      </c>
      <c r="K8" s="609"/>
      <c r="L8" s="609" t="s">
        <v>1079</v>
      </c>
      <c r="M8" s="609"/>
      <c r="N8" s="609"/>
      <c r="O8" s="609"/>
      <c r="P8" s="609"/>
      <c r="Q8" s="609"/>
      <c r="R8" s="609"/>
      <c r="S8" s="609"/>
    </row>
    <row r="9" spans="1:19">
      <c r="A9" s="644" t="s">
        <v>1101</v>
      </c>
      <c r="B9" s="643">
        <v>0.9</v>
      </c>
      <c r="C9" s="643">
        <v>6.4630000000000007E-2</v>
      </c>
      <c r="D9" s="643">
        <v>2.8486799999999999</v>
      </c>
      <c r="E9" s="417">
        <v>2.5174799999999999</v>
      </c>
      <c r="F9" s="645">
        <v>1.6481410000000001</v>
      </c>
      <c r="G9" s="609"/>
      <c r="H9" s="609"/>
      <c r="I9" s="609">
        <f>tbl_SGE_2020[[#This Row],[SGEe]]/3.6</f>
        <v>0.25</v>
      </c>
      <c r="J9" s="609">
        <f>tbl_SGE_2020[[#This Row],[SGEg]]</f>
        <v>6.4630000000000007E-2</v>
      </c>
      <c r="K9" s="609"/>
      <c r="L9" s="609">
        <f t="shared" ref="L9:L16" si="0">(J9*$L$6+I9*(1-$L$6))/(H144*$L$6+G144*(1-$L$6))</f>
        <v>0.86348669538322365</v>
      </c>
      <c r="M9" s="609">
        <f>(J9*$M$6+I9*(1-$M$6))/(J85*$M$6+I85*(1-$M$6))</f>
        <v>0.95040304494925087</v>
      </c>
      <c r="N9" s="609">
        <f>(J9*$M$6+I9*(1-$M$6))/(J85*$M$6+I85*(1-$M$6))</f>
        <v>0.95040304494925087</v>
      </c>
      <c r="O9" s="609"/>
      <c r="P9" s="609"/>
      <c r="Q9" s="609"/>
      <c r="R9" s="609"/>
      <c r="S9" s="609">
        <f>tbl_SGE_2020[[#This Row],[SGEl]]/25.7</f>
        <v>6.4130000000000006E-2</v>
      </c>
    </row>
    <row r="10" spans="1:19">
      <c r="A10" s="644" t="s">
        <v>1102</v>
      </c>
      <c r="B10" s="643">
        <v>0.9</v>
      </c>
      <c r="C10" s="643">
        <v>6.4630000000000007E-2</v>
      </c>
      <c r="D10" s="643">
        <v>2.8486799999999999</v>
      </c>
      <c r="E10" s="417">
        <v>2.5174799999999999</v>
      </c>
      <c r="F10" s="645">
        <v>1.6481410000000001</v>
      </c>
      <c r="G10" s="609"/>
      <c r="H10" s="609"/>
      <c r="I10" s="609">
        <f>tbl_SGE_2020[[#This Row],[SGEe]]/3.6</f>
        <v>0.25</v>
      </c>
      <c r="J10" s="609">
        <f>tbl_SGE_2020[[#This Row],[SGEg]]</f>
        <v>6.4630000000000007E-2</v>
      </c>
      <c r="K10" s="609"/>
      <c r="L10" s="609">
        <f t="shared" si="0"/>
        <v>0.86348669538322365</v>
      </c>
      <c r="M10" s="609"/>
      <c r="N10" s="609"/>
      <c r="O10" s="609"/>
      <c r="P10" s="609"/>
      <c r="Q10" s="609"/>
      <c r="R10" s="609"/>
      <c r="S10" s="609">
        <f>tbl_SGE_2020[[#This Row],[SGEl]]/25.7</f>
        <v>6.4130000000000006E-2</v>
      </c>
    </row>
    <row r="11" spans="1:19">
      <c r="A11" s="644" t="s">
        <v>1103</v>
      </c>
      <c r="B11" s="643">
        <v>0.69</v>
      </c>
      <c r="C11" s="643">
        <v>5.1529999999999999E-2</v>
      </c>
      <c r="D11" s="643">
        <v>2.8486799999999999</v>
      </c>
      <c r="E11" s="417">
        <v>2.5174799999999999</v>
      </c>
      <c r="F11" s="645">
        <v>2.3063560000000001</v>
      </c>
      <c r="G11" s="609"/>
      <c r="H11" s="609"/>
      <c r="I11" s="609">
        <f>tbl_SGE_2020[[#This Row],[SGEe]]/3.6</f>
        <v>0.19166666666666665</v>
      </c>
      <c r="J11" s="609">
        <f>tbl_SGE_2020[[#This Row],[SGEg]]</f>
        <v>5.1529999999999999E-2</v>
      </c>
      <c r="K11" s="609"/>
      <c r="L11" s="609">
        <f t="shared" si="0"/>
        <v>0.87712470082898308</v>
      </c>
      <c r="M11" s="609"/>
      <c r="N11" s="609"/>
      <c r="O11" s="609"/>
      <c r="P11" s="609"/>
      <c r="Q11" s="609"/>
      <c r="R11" s="609"/>
      <c r="S11" s="609">
        <f>tbl_SGE_2020[[#This Row],[SGEl]]/25.7</f>
        <v>8.9741478599221797E-2</v>
      </c>
    </row>
    <row r="12" spans="1:19">
      <c r="A12" s="644" t="s">
        <v>1104</v>
      </c>
      <c r="B12" s="643">
        <v>0.93</v>
      </c>
      <c r="C12" s="643">
        <v>6.0330000000000002E-2</v>
      </c>
      <c r="D12" s="643">
        <v>2.8486799999999999</v>
      </c>
      <c r="E12" s="417">
        <v>2.5174799999999999</v>
      </c>
      <c r="F12" s="645">
        <v>1.5427709999999999</v>
      </c>
      <c r="G12" s="609"/>
      <c r="H12" s="609"/>
      <c r="I12" s="609">
        <f>tbl_SGE_2020[[#This Row],[SGEe]]/3.6</f>
        <v>0.25833333333333336</v>
      </c>
      <c r="J12" s="609">
        <f>tbl_SGE_2020[[#This Row],[SGEg]]</f>
        <v>6.0330000000000002E-2</v>
      </c>
      <c r="K12" s="609"/>
      <c r="L12" s="609">
        <f t="shared" si="0"/>
        <v>0.91015455880349394</v>
      </c>
      <c r="M12" s="609"/>
      <c r="N12" s="609"/>
      <c r="O12" s="609"/>
      <c r="P12" s="609"/>
      <c r="Q12" s="609"/>
      <c r="R12" s="609"/>
      <c r="S12" s="609">
        <f>tbl_SGE_2020[[#This Row],[SGEl]]/25.7</f>
        <v>6.003E-2</v>
      </c>
    </row>
    <row r="13" spans="1:19">
      <c r="A13" s="644" t="s">
        <v>1105</v>
      </c>
      <c r="B13" s="643">
        <v>0.52</v>
      </c>
      <c r="C13" s="643">
        <v>6.2230000000000001E-2</v>
      </c>
      <c r="D13" s="643">
        <v>2.8486799999999999</v>
      </c>
      <c r="E13" s="417">
        <v>2.5174799999999999</v>
      </c>
      <c r="F13" s="645">
        <v>1.5864610000000001</v>
      </c>
      <c r="G13" s="609"/>
      <c r="H13" s="609"/>
      <c r="I13" s="609">
        <f>tbl_SGE_2020[[#This Row],[SGEe]]/3.6</f>
        <v>0.14444444444444446</v>
      </c>
      <c r="J13" s="609">
        <f>tbl_SGE_2020[[#This Row],[SGEg]]</f>
        <v>6.2230000000000001E-2</v>
      </c>
      <c r="K13" s="609"/>
      <c r="L13" s="609">
        <f t="shared" si="0"/>
        <v>0.57517311531895288</v>
      </c>
      <c r="M13" s="609"/>
      <c r="N13" s="609"/>
      <c r="O13" s="609"/>
      <c r="P13" s="609"/>
      <c r="Q13" s="609"/>
      <c r="R13" s="609"/>
      <c r="S13" s="609">
        <f>tbl_SGE_2020[[#This Row],[SGEl]]/25.7</f>
        <v>6.1730000000000007E-2</v>
      </c>
    </row>
    <row r="14" spans="1:19">
      <c r="A14" s="644" t="s">
        <v>1106</v>
      </c>
      <c r="B14" s="643">
        <v>1</v>
      </c>
      <c r="C14" s="646">
        <v>0.20830000000000001</v>
      </c>
      <c r="D14" s="643">
        <v>8.0417000000000005</v>
      </c>
      <c r="E14" s="417">
        <v>4.2972000000000001</v>
      </c>
      <c r="F14" s="647">
        <v>1.3191810000000002</v>
      </c>
      <c r="G14" s="609"/>
      <c r="H14" s="609"/>
      <c r="I14" s="609">
        <f>tbl_SGE_2020[[#This Row],[SGEe]]/3.6</f>
        <v>0.27777777777777779</v>
      </c>
      <c r="J14" s="609">
        <f>tbl_SGE_2020[[#This Row],[SGEg]]</f>
        <v>0.20830000000000001</v>
      </c>
      <c r="K14" s="609"/>
      <c r="L14" s="609">
        <f t="shared" si="0"/>
        <v>0.99995253221955482</v>
      </c>
      <c r="M14" s="609"/>
      <c r="N14" s="609"/>
      <c r="O14" s="609"/>
      <c r="P14" s="609"/>
      <c r="Q14" s="609"/>
      <c r="R14" s="609"/>
      <c r="S14" s="609">
        <f>tbl_SGE_2020[[#This Row],[SGEl]]/25.7</f>
        <v>5.1330000000000008E-2</v>
      </c>
    </row>
    <row r="15" spans="1:19">
      <c r="A15" s="644" t="s">
        <v>1107</v>
      </c>
      <c r="B15" s="643">
        <v>1.0900000000000001</v>
      </c>
      <c r="C15" s="643">
        <v>5.5530000000000003E-2</v>
      </c>
      <c r="D15" s="643">
        <v>2.8486799999999999</v>
      </c>
      <c r="E15" s="417">
        <v>2.5174799999999999</v>
      </c>
      <c r="F15" s="645">
        <v>1.419411</v>
      </c>
      <c r="G15" s="609"/>
      <c r="H15" s="609"/>
      <c r="I15" s="609">
        <f>tbl_SGE_2020[[#This Row],[SGEe]]/3.6</f>
        <v>0.30277777777777781</v>
      </c>
      <c r="J15" s="609">
        <f>tbl_SGE_2020[[#This Row],[SGEg]]</f>
        <v>5.5530000000000003E-2</v>
      </c>
      <c r="K15" s="609"/>
      <c r="L15" s="609">
        <f t="shared" si="0"/>
        <v>0.84321237419203288</v>
      </c>
      <c r="M15" s="609"/>
      <c r="N15" s="609"/>
      <c r="O15" s="609"/>
      <c r="P15" s="609"/>
      <c r="Q15" s="609"/>
      <c r="R15" s="609"/>
      <c r="S15" s="609">
        <f>tbl_SGE_2020[[#This Row],[SGEl]]/25.7</f>
        <v>5.5230000000000001E-2</v>
      </c>
    </row>
    <row r="16" spans="1:19">
      <c r="A16" s="684" t="s">
        <v>1108</v>
      </c>
      <c r="B16" s="685">
        <v>0.7</v>
      </c>
      <c r="C16" s="685">
        <v>5.5629999999999999E-2</v>
      </c>
      <c r="D16" s="685">
        <v>2.8486799999999999</v>
      </c>
      <c r="E16" s="686">
        <v>2.5174799999999999</v>
      </c>
      <c r="F16" s="687">
        <v>1.4219810000000002</v>
      </c>
      <c r="G16" s="609"/>
      <c r="H16" s="609"/>
      <c r="I16" s="609">
        <f>tbl_SGE_2020[[#This Row],[SGEe]]/3.6</f>
        <v>0.19444444444444442</v>
      </c>
      <c r="J16" s="609">
        <f>tbl_SGE_2020[[#This Row],[SGEg]]</f>
        <v>5.5629999999999999E-2</v>
      </c>
      <c r="K16" s="609"/>
      <c r="L16" s="609">
        <f t="shared" si="0"/>
        <v>0.73926233031391209</v>
      </c>
      <c r="M16" s="609"/>
      <c r="N16" s="609"/>
      <c r="O16" s="609"/>
      <c r="P16" s="609"/>
      <c r="Q16" s="609"/>
      <c r="R16" s="609"/>
      <c r="S16" s="609">
        <f>tbl_SGE_2020[[#This Row],[SGEl]]/25.7</f>
        <v>5.5330000000000011E-2</v>
      </c>
    </row>
    <row r="17" spans="1:16">
      <c r="A17" s="609"/>
      <c r="B17" s="609"/>
      <c r="C17" s="609"/>
      <c r="D17" s="609"/>
      <c r="E17" s="609"/>
      <c r="F17" s="609"/>
      <c r="G17" s="609"/>
      <c r="H17" s="609"/>
      <c r="I17" s="609"/>
      <c r="J17" s="609"/>
      <c r="K17" s="609"/>
      <c r="L17" s="648"/>
      <c r="M17" s="609"/>
      <c r="N17" s="609"/>
      <c r="O17" s="609"/>
      <c r="P17" s="609"/>
    </row>
    <row r="18" spans="1:16">
      <c r="A18" s="854" t="s">
        <v>1109</v>
      </c>
      <c r="B18" s="854"/>
      <c r="C18" s="854"/>
      <c r="D18" s="854"/>
      <c r="E18" s="854"/>
      <c r="F18" s="609"/>
      <c r="G18" s="609"/>
      <c r="H18" s="609"/>
      <c r="I18" s="609"/>
      <c r="J18" s="609"/>
      <c r="K18" s="609"/>
      <c r="L18" s="609"/>
      <c r="M18" s="609"/>
      <c r="N18" s="609"/>
      <c r="O18" s="609"/>
      <c r="P18" s="609"/>
    </row>
    <row r="19" spans="1:16">
      <c r="A19" s="160" t="s">
        <v>327</v>
      </c>
      <c r="B19" s="418" t="s">
        <v>329</v>
      </c>
      <c r="C19" s="418" t="s">
        <v>330</v>
      </c>
      <c r="D19" s="159" t="s">
        <v>331</v>
      </c>
      <c r="E19" s="609" t="s">
        <v>1110</v>
      </c>
      <c r="F19" s="609"/>
      <c r="G19" s="609"/>
      <c r="H19" s="609"/>
      <c r="I19" s="609"/>
      <c r="J19" s="609"/>
      <c r="K19" s="609"/>
      <c r="L19" s="609"/>
      <c r="M19" s="609"/>
      <c r="N19" s="609"/>
      <c r="O19" s="609"/>
      <c r="P19" s="609"/>
    </row>
    <row r="20" spans="1:16">
      <c r="A20" s="649" t="s">
        <v>1101</v>
      </c>
      <c r="B20" s="417">
        <v>0.9</v>
      </c>
      <c r="C20" s="417">
        <v>0.23266800000000001</v>
      </c>
      <c r="D20" s="647">
        <v>0.26567999999999997</v>
      </c>
      <c r="E20" s="609">
        <v>0.33566399999999996</v>
      </c>
      <c r="F20" s="609"/>
      <c r="G20" s="609"/>
      <c r="H20" s="609"/>
      <c r="I20" s="609"/>
      <c r="J20" s="609"/>
      <c r="K20" s="609"/>
      <c r="L20" s="609"/>
      <c r="M20" s="609" t="s">
        <v>1111</v>
      </c>
      <c r="N20" s="609" t="s">
        <v>1112</v>
      </c>
      <c r="O20" s="609" t="s">
        <v>1113</v>
      </c>
      <c r="P20" s="609" t="s">
        <v>1114</v>
      </c>
    </row>
    <row r="21" spans="1:16">
      <c r="A21" s="649" t="s">
        <v>1102</v>
      </c>
      <c r="B21" s="417">
        <v>0.9</v>
      </c>
      <c r="C21" s="417">
        <v>0.23266800000000001</v>
      </c>
      <c r="D21" s="647">
        <v>0.26567999999999997</v>
      </c>
      <c r="E21" s="609">
        <v>0.33566399999999996</v>
      </c>
      <c r="F21" s="609"/>
      <c r="G21" s="609"/>
      <c r="H21" s="609"/>
      <c r="I21" s="609"/>
      <c r="J21" s="609"/>
      <c r="K21" s="609"/>
      <c r="L21" s="609"/>
      <c r="M21" s="609" t="s">
        <v>321</v>
      </c>
      <c r="N21" s="609" t="s">
        <v>1115</v>
      </c>
      <c r="O21" s="609">
        <v>3.6</v>
      </c>
      <c r="P21" s="609" t="s">
        <v>1116</v>
      </c>
    </row>
    <row r="22" spans="1:16">
      <c r="A22" s="649" t="s">
        <v>1103</v>
      </c>
      <c r="B22" s="417">
        <v>0.69</v>
      </c>
      <c r="C22" s="417">
        <v>0.18550800000000001</v>
      </c>
      <c r="D22" s="647">
        <v>0.26567999999999997</v>
      </c>
      <c r="E22" s="609">
        <v>0.33566399999999996</v>
      </c>
      <c r="F22" s="609"/>
      <c r="G22" s="609"/>
      <c r="H22" s="609"/>
      <c r="I22" s="609"/>
      <c r="J22" s="609"/>
      <c r="K22" s="609"/>
      <c r="L22" s="609"/>
      <c r="M22" s="609" t="s">
        <v>1117</v>
      </c>
      <c r="N22" s="609" t="s">
        <v>1118</v>
      </c>
      <c r="O22" s="609">
        <v>22.1</v>
      </c>
      <c r="P22" s="609" t="s">
        <v>1119</v>
      </c>
    </row>
    <row r="23" spans="1:16">
      <c r="A23" s="649" t="s">
        <v>1104</v>
      </c>
      <c r="B23" s="417">
        <v>0.93</v>
      </c>
      <c r="C23" s="417">
        <v>0.21718800000000002</v>
      </c>
      <c r="D23" s="647">
        <v>0.26567999999999997</v>
      </c>
      <c r="E23" s="609">
        <v>0.33566399999999996</v>
      </c>
      <c r="F23" s="609"/>
      <c r="G23" s="609"/>
      <c r="H23" s="609"/>
      <c r="I23" s="609"/>
      <c r="J23" s="609"/>
      <c r="K23" s="609"/>
      <c r="L23" s="609"/>
      <c r="M23" s="609" t="s">
        <v>323</v>
      </c>
      <c r="N23" s="609" t="s">
        <v>1120</v>
      </c>
      <c r="O23" s="609">
        <v>38.6</v>
      </c>
      <c r="P23" s="609" t="s">
        <v>1121</v>
      </c>
    </row>
    <row r="24" spans="1:16">
      <c r="A24" s="649" t="s">
        <v>1105</v>
      </c>
      <c r="B24" s="417">
        <v>0.52</v>
      </c>
      <c r="C24" s="417">
        <v>0.224028</v>
      </c>
      <c r="D24" s="647">
        <v>0.26567999999999997</v>
      </c>
      <c r="E24" s="609">
        <v>0.33566399999999996</v>
      </c>
      <c r="F24" s="609"/>
      <c r="G24" s="609"/>
      <c r="H24" s="609"/>
      <c r="I24" s="609"/>
      <c r="J24" s="609"/>
      <c r="K24" s="609"/>
      <c r="L24" s="609"/>
      <c r="M24" s="609" t="s">
        <v>851</v>
      </c>
      <c r="N24" s="609" t="s">
        <v>1122</v>
      </c>
      <c r="O24" s="609">
        <v>25.7</v>
      </c>
      <c r="P24" s="609" t="s">
        <v>1121</v>
      </c>
    </row>
    <row r="25" spans="1:16">
      <c r="A25" s="649" t="s">
        <v>1106</v>
      </c>
      <c r="B25" s="419">
        <v>1</v>
      </c>
      <c r="C25" s="419">
        <v>0.75</v>
      </c>
      <c r="D25" s="647">
        <v>0.75</v>
      </c>
      <c r="E25" s="609">
        <v>0.7</v>
      </c>
      <c r="F25" s="609"/>
      <c r="G25" s="609"/>
      <c r="H25" s="609"/>
      <c r="I25" s="609"/>
      <c r="J25" s="609"/>
      <c r="K25" s="609"/>
      <c r="L25" s="609"/>
      <c r="M25" s="609"/>
      <c r="N25" s="609"/>
      <c r="O25" s="609"/>
      <c r="P25" s="609"/>
    </row>
    <row r="26" spans="1:16">
      <c r="A26" s="649" t="s">
        <v>1107</v>
      </c>
      <c r="B26" s="417">
        <v>1.0900000000000001</v>
      </c>
      <c r="C26" s="417">
        <v>0.199908</v>
      </c>
      <c r="D26" s="647">
        <v>0.26567999999999997</v>
      </c>
      <c r="E26" s="609">
        <v>0.33566399999999996</v>
      </c>
      <c r="F26" s="609"/>
      <c r="G26" s="609"/>
      <c r="H26" s="609"/>
      <c r="I26" s="609"/>
      <c r="J26" s="609"/>
      <c r="K26" s="609"/>
      <c r="L26" s="609"/>
      <c r="M26" s="609"/>
      <c r="N26" s="609"/>
      <c r="O26" s="609"/>
      <c r="P26" s="609"/>
    </row>
    <row r="27" spans="1:16">
      <c r="A27" s="678" t="s">
        <v>1108</v>
      </c>
      <c r="B27" s="686">
        <v>0.7</v>
      </c>
      <c r="C27" s="686">
        <v>0.20026800000000003</v>
      </c>
      <c r="D27" s="677">
        <v>0.26567999999999997</v>
      </c>
      <c r="E27" s="609">
        <v>0.33566399999999996</v>
      </c>
      <c r="F27" s="609"/>
      <c r="G27" s="609"/>
      <c r="H27" s="609"/>
      <c r="I27" s="609"/>
      <c r="J27" s="609"/>
      <c r="K27" s="609"/>
      <c r="L27" s="609"/>
      <c r="M27" s="609"/>
      <c r="N27" s="609"/>
      <c r="O27" s="609"/>
      <c r="P27" s="609"/>
    </row>
    <row r="29" spans="1:16" ht="28.9">
      <c r="A29" s="609"/>
      <c r="B29" s="411" t="s">
        <v>1082</v>
      </c>
      <c r="C29" s="411" t="s">
        <v>1083</v>
      </c>
      <c r="D29" s="411" t="s">
        <v>1084</v>
      </c>
      <c r="E29" s="411" t="s">
        <v>1085</v>
      </c>
      <c r="F29" s="609"/>
      <c r="G29" s="609"/>
      <c r="H29" s="609"/>
      <c r="I29" s="609"/>
      <c r="J29" s="609"/>
      <c r="K29" s="609"/>
      <c r="L29" s="650"/>
      <c r="M29" s="609"/>
      <c r="N29" s="609"/>
      <c r="O29" s="609"/>
      <c r="P29" s="609"/>
    </row>
    <row r="30" spans="1:16">
      <c r="A30" s="609"/>
      <c r="B30" s="412" t="s">
        <v>1089</v>
      </c>
      <c r="C30" s="412" t="s">
        <v>1090</v>
      </c>
      <c r="D30" s="412" t="s">
        <v>1091</v>
      </c>
      <c r="E30" s="412" t="s">
        <v>1092</v>
      </c>
      <c r="F30" s="609"/>
      <c r="G30" s="609"/>
      <c r="H30" s="609"/>
      <c r="I30" s="609"/>
      <c r="J30" s="609"/>
      <c r="K30" s="609"/>
      <c r="L30" s="609"/>
      <c r="M30" s="609"/>
      <c r="N30" s="609"/>
      <c r="O30" s="609"/>
      <c r="P30" s="609"/>
    </row>
    <row r="31" spans="1:16">
      <c r="A31" s="417" t="s">
        <v>1101</v>
      </c>
      <c r="B31" s="651">
        <f>B20</f>
        <v>0.9</v>
      </c>
      <c r="C31" s="651">
        <f t="shared" ref="C31:C38" si="1">C20/$O$21</f>
        <v>6.4630000000000007E-2</v>
      </c>
      <c r="D31" s="651">
        <f t="shared" ref="D31:D38" si="2">D20/$O$21*$O$23</f>
        <v>2.8486799999999999</v>
      </c>
      <c r="E31" s="651">
        <f t="shared" ref="E31:E38" si="3">E20/$O$21*$O$22</f>
        <v>2.0606040000000001</v>
      </c>
      <c r="F31" s="609"/>
      <c r="G31" s="609"/>
      <c r="H31" s="609"/>
      <c r="I31" s="609"/>
      <c r="J31" s="609"/>
      <c r="K31" s="609"/>
      <c r="L31" s="609"/>
      <c r="M31" s="609"/>
      <c r="N31" s="609"/>
      <c r="O31" s="609"/>
      <c r="P31" s="609"/>
    </row>
    <row r="32" spans="1:16">
      <c r="A32" s="417" t="s">
        <v>1102</v>
      </c>
      <c r="B32" s="651">
        <f t="shared" ref="B32:B38" si="4">B21</f>
        <v>0.9</v>
      </c>
      <c r="C32" s="651">
        <f t="shared" si="1"/>
        <v>6.4630000000000007E-2</v>
      </c>
      <c r="D32" s="651">
        <f t="shared" si="2"/>
        <v>2.8486799999999999</v>
      </c>
      <c r="E32" s="651">
        <f t="shared" si="3"/>
        <v>2.0606040000000001</v>
      </c>
      <c r="F32" s="609"/>
      <c r="G32" s="609"/>
      <c r="H32" s="609"/>
      <c r="I32" s="609"/>
      <c r="J32" s="609"/>
      <c r="K32" s="609"/>
      <c r="L32" s="652"/>
      <c r="M32" s="609"/>
      <c r="N32" s="609"/>
      <c r="O32" s="609"/>
      <c r="P32" s="609"/>
    </row>
    <row r="33" spans="1:5">
      <c r="A33" s="417" t="s">
        <v>1103</v>
      </c>
      <c r="B33" s="651">
        <f t="shared" si="4"/>
        <v>0.69</v>
      </c>
      <c r="C33" s="651">
        <f t="shared" si="1"/>
        <v>5.1529999999999999E-2</v>
      </c>
      <c r="D33" s="651">
        <f t="shared" si="2"/>
        <v>2.8486799999999999</v>
      </c>
      <c r="E33" s="651">
        <f t="shared" si="3"/>
        <v>2.0606040000000001</v>
      </c>
    </row>
    <row r="34" spans="1:5">
      <c r="A34" s="417" t="s">
        <v>1104</v>
      </c>
      <c r="B34" s="651">
        <f t="shared" si="4"/>
        <v>0.93</v>
      </c>
      <c r="C34" s="651">
        <f t="shared" si="1"/>
        <v>6.0330000000000002E-2</v>
      </c>
      <c r="D34" s="651">
        <f t="shared" si="2"/>
        <v>2.8486799999999999</v>
      </c>
      <c r="E34" s="651">
        <f t="shared" si="3"/>
        <v>2.0606040000000001</v>
      </c>
    </row>
    <row r="35" spans="1:5">
      <c r="A35" s="417" t="s">
        <v>1105</v>
      </c>
      <c r="B35" s="651">
        <f t="shared" si="4"/>
        <v>0.52</v>
      </c>
      <c r="C35" s="651">
        <f t="shared" si="1"/>
        <v>6.2230000000000001E-2</v>
      </c>
      <c r="D35" s="651">
        <f t="shared" si="2"/>
        <v>2.8486799999999999</v>
      </c>
      <c r="E35" s="651">
        <f t="shared" si="3"/>
        <v>2.0606040000000001</v>
      </c>
    </row>
    <row r="36" spans="1:5">
      <c r="A36" s="417" t="s">
        <v>1106</v>
      </c>
      <c r="B36" s="651">
        <f t="shared" si="4"/>
        <v>1</v>
      </c>
      <c r="C36" s="651">
        <f t="shared" si="1"/>
        <v>0.20833333333333331</v>
      </c>
      <c r="D36" s="651">
        <f t="shared" si="2"/>
        <v>8.0416666666666661</v>
      </c>
      <c r="E36" s="651">
        <f t="shared" si="3"/>
        <v>4.2972222222222216</v>
      </c>
    </row>
    <row r="37" spans="1:5">
      <c r="A37" s="417" t="s">
        <v>1107</v>
      </c>
      <c r="B37" s="651">
        <f t="shared" si="4"/>
        <v>1.0900000000000001</v>
      </c>
      <c r="C37" s="651">
        <f t="shared" si="1"/>
        <v>5.5529999999999996E-2</v>
      </c>
      <c r="D37" s="651">
        <f t="shared" si="2"/>
        <v>2.8486799999999999</v>
      </c>
      <c r="E37" s="651">
        <f t="shared" si="3"/>
        <v>2.0606040000000001</v>
      </c>
    </row>
    <row r="38" spans="1:5">
      <c r="A38" s="417" t="s">
        <v>1108</v>
      </c>
      <c r="B38" s="651">
        <f t="shared" si="4"/>
        <v>0.7</v>
      </c>
      <c r="C38" s="651">
        <f t="shared" si="1"/>
        <v>5.5630000000000006E-2</v>
      </c>
      <c r="D38" s="651">
        <f t="shared" si="2"/>
        <v>2.8486799999999999</v>
      </c>
      <c r="E38" s="651">
        <f t="shared" si="3"/>
        <v>2.0606040000000001</v>
      </c>
    </row>
    <row r="40" spans="1:5" ht="28.9">
      <c r="A40" s="609"/>
      <c r="B40" s="411" t="s">
        <v>1082</v>
      </c>
      <c r="C40" s="411" t="s">
        <v>1083</v>
      </c>
      <c r="D40" s="411" t="s">
        <v>1084</v>
      </c>
      <c r="E40" s="411" t="s">
        <v>1085</v>
      </c>
    </row>
    <row r="41" spans="1:5">
      <c r="A41" s="609"/>
      <c r="B41" s="412" t="s">
        <v>1089</v>
      </c>
      <c r="C41" s="412" t="s">
        <v>1089</v>
      </c>
      <c r="D41" s="412" t="s">
        <v>1089</v>
      </c>
      <c r="E41" s="412" t="s">
        <v>1089</v>
      </c>
    </row>
    <row r="42" spans="1:5">
      <c r="A42" s="609"/>
      <c r="B42" s="653">
        <f t="shared" ref="B42:B49" si="5">B9</f>
        <v>0.9</v>
      </c>
      <c r="C42" s="653">
        <f t="shared" ref="C42:C49" si="6">C9*O$21</f>
        <v>0.23266800000000004</v>
      </c>
      <c r="D42" s="653">
        <f t="shared" ref="D42:D49" si="7">D9*$O$21/$O$23</f>
        <v>0.26567999999999997</v>
      </c>
      <c r="E42" s="653">
        <f t="shared" ref="E42:E49" si="8">E9*$O$21/$O$22</f>
        <v>0.41008723981900447</v>
      </c>
    </row>
    <row r="43" spans="1:5">
      <c r="A43" s="609"/>
      <c r="B43" s="653">
        <f t="shared" si="5"/>
        <v>0.9</v>
      </c>
      <c r="C43" s="653">
        <f t="shared" si="6"/>
        <v>0.23266800000000004</v>
      </c>
      <c r="D43" s="653">
        <f t="shared" si="7"/>
        <v>0.26567999999999997</v>
      </c>
      <c r="E43" s="653">
        <f t="shared" si="8"/>
        <v>0.41008723981900447</v>
      </c>
    </row>
    <row r="44" spans="1:5">
      <c r="A44" s="609"/>
      <c r="B44" s="653">
        <f t="shared" si="5"/>
        <v>0.69</v>
      </c>
      <c r="C44" s="653">
        <f t="shared" si="6"/>
        <v>0.18550800000000001</v>
      </c>
      <c r="D44" s="653">
        <f t="shared" si="7"/>
        <v>0.26567999999999997</v>
      </c>
      <c r="E44" s="653">
        <f t="shared" si="8"/>
        <v>0.41008723981900447</v>
      </c>
    </row>
    <row r="45" spans="1:5">
      <c r="A45" s="609"/>
      <c r="B45" s="653">
        <f t="shared" si="5"/>
        <v>0.93</v>
      </c>
      <c r="C45" s="653">
        <f t="shared" si="6"/>
        <v>0.21718800000000002</v>
      </c>
      <c r="D45" s="653">
        <f t="shared" si="7"/>
        <v>0.26567999999999997</v>
      </c>
      <c r="E45" s="653">
        <f t="shared" si="8"/>
        <v>0.41008723981900447</v>
      </c>
    </row>
    <row r="46" spans="1:5">
      <c r="A46" s="609"/>
      <c r="B46" s="653">
        <f t="shared" si="5"/>
        <v>0.52</v>
      </c>
      <c r="C46" s="653">
        <f t="shared" si="6"/>
        <v>0.224028</v>
      </c>
      <c r="D46" s="653">
        <f t="shared" si="7"/>
        <v>0.26567999999999997</v>
      </c>
      <c r="E46" s="653">
        <f t="shared" si="8"/>
        <v>0.41008723981900447</v>
      </c>
    </row>
    <row r="47" spans="1:5">
      <c r="A47" s="609"/>
      <c r="B47" s="653">
        <f t="shared" si="5"/>
        <v>1</v>
      </c>
      <c r="C47" s="653">
        <f t="shared" si="6"/>
        <v>0.7498800000000001</v>
      </c>
      <c r="D47" s="653">
        <f t="shared" si="7"/>
        <v>0.75000310880829013</v>
      </c>
      <c r="E47" s="653">
        <f t="shared" si="8"/>
        <v>0.69999638009049769</v>
      </c>
    </row>
    <row r="48" spans="1:5">
      <c r="A48" s="609"/>
      <c r="B48" s="653">
        <f t="shared" si="5"/>
        <v>1.0900000000000001</v>
      </c>
      <c r="C48" s="653">
        <f t="shared" si="6"/>
        <v>0.199908</v>
      </c>
      <c r="D48" s="653">
        <f t="shared" si="7"/>
        <v>0.26567999999999997</v>
      </c>
      <c r="E48" s="653">
        <f t="shared" si="8"/>
        <v>0.41008723981900447</v>
      </c>
    </row>
    <row r="49" spans="1:10">
      <c r="A49" s="609"/>
      <c r="B49" s="653">
        <f t="shared" si="5"/>
        <v>0.7</v>
      </c>
      <c r="C49" s="653">
        <f t="shared" si="6"/>
        <v>0.200268</v>
      </c>
      <c r="D49" s="653">
        <f t="shared" si="7"/>
        <v>0.26567999999999997</v>
      </c>
      <c r="E49" s="653">
        <f t="shared" si="8"/>
        <v>0.41008723981900447</v>
      </c>
      <c r="F49" s="609"/>
      <c r="G49" s="609"/>
      <c r="H49" s="609"/>
      <c r="I49" s="609"/>
      <c r="J49" s="609"/>
    </row>
    <row r="53" spans="1:10">
      <c r="A53" s="410" t="s">
        <v>1123</v>
      </c>
      <c r="B53" s="410"/>
      <c r="C53" s="410"/>
      <c r="D53" s="410"/>
      <c r="E53" s="410"/>
      <c r="F53" s="609"/>
      <c r="G53" s="609"/>
      <c r="H53" s="609"/>
      <c r="I53" s="609"/>
      <c r="J53" s="609"/>
    </row>
    <row r="54" spans="1:10" ht="28.9">
      <c r="A54" s="643"/>
      <c r="B54" s="411" t="s">
        <v>1082</v>
      </c>
      <c r="C54" s="411" t="s">
        <v>1083</v>
      </c>
      <c r="D54" s="411" t="s">
        <v>1084</v>
      </c>
      <c r="E54" s="411" t="s">
        <v>1085</v>
      </c>
      <c r="F54" s="609"/>
      <c r="G54" s="609"/>
      <c r="H54" s="609"/>
      <c r="I54" s="609"/>
      <c r="J54" s="609"/>
    </row>
    <row r="55" spans="1:10">
      <c r="A55" s="412"/>
      <c r="B55" s="412" t="s">
        <v>1089</v>
      </c>
      <c r="C55" s="412" t="s">
        <v>1090</v>
      </c>
      <c r="D55" s="412" t="s">
        <v>1091</v>
      </c>
      <c r="E55" s="412" t="s">
        <v>1092</v>
      </c>
      <c r="F55" s="609"/>
      <c r="G55" s="609"/>
      <c r="H55" s="609"/>
      <c r="I55" s="609"/>
      <c r="J55" s="609"/>
    </row>
    <row r="56" spans="1:10">
      <c r="A56" s="413" t="s">
        <v>327</v>
      </c>
      <c r="B56" s="414" t="s">
        <v>1094</v>
      </c>
      <c r="C56" s="414" t="s">
        <v>1095</v>
      </c>
      <c r="D56" s="414" t="s">
        <v>1096</v>
      </c>
      <c r="E56" s="415" t="s">
        <v>1097</v>
      </c>
      <c r="F56" s="609"/>
      <c r="G56" s="609"/>
      <c r="H56" s="609"/>
      <c r="I56" s="609"/>
      <c r="J56" s="609" t="s">
        <v>1080</v>
      </c>
    </row>
    <row r="57" spans="1:10">
      <c r="A57" s="644" t="s">
        <v>1101</v>
      </c>
      <c r="B57" s="646">
        <v>0.9</v>
      </c>
      <c r="C57" s="646">
        <v>6.4630000000000007E-2</v>
      </c>
      <c r="D57" s="646">
        <v>2.8487</v>
      </c>
      <c r="E57" s="654">
        <v>2.5174799999999999</v>
      </c>
      <c r="F57" s="609"/>
      <c r="G57" s="609">
        <f>tbl_SGE_AB_2020[[#This Row],[SGEe]]/3.6</f>
        <v>0.25</v>
      </c>
      <c r="H57" s="609">
        <f>tbl_SGE_AB_2020[[#This Row],[SGEg]]</f>
        <v>6.4630000000000007E-2</v>
      </c>
      <c r="I57" s="609"/>
      <c r="J57" s="609">
        <f>(H57*$M$6+G57*(1-$M$6))/(J85*$M$6+I85*(1-$M$6))</f>
        <v>0.95040304494925087</v>
      </c>
    </row>
    <row r="58" spans="1:10">
      <c r="A58" s="644" t="s">
        <v>1102</v>
      </c>
      <c r="B58" s="646">
        <v>0.9</v>
      </c>
      <c r="C58" s="646">
        <v>6.4630000000000007E-2</v>
      </c>
      <c r="D58" s="646">
        <v>2.8487</v>
      </c>
      <c r="E58" s="654">
        <v>2.5174799999999999</v>
      </c>
      <c r="F58" s="609"/>
      <c r="G58" s="609"/>
      <c r="H58" s="609"/>
      <c r="I58" s="609"/>
      <c r="J58" s="609"/>
    </row>
    <row r="59" spans="1:10">
      <c r="A59" s="644" t="s">
        <v>1103</v>
      </c>
      <c r="B59" s="646">
        <v>0.9</v>
      </c>
      <c r="C59" s="646">
        <v>6.4630000000000007E-2</v>
      </c>
      <c r="D59" s="646">
        <v>2.8487</v>
      </c>
      <c r="E59" s="654">
        <v>2.5174799999999999</v>
      </c>
      <c r="F59" s="609"/>
      <c r="G59" s="609"/>
      <c r="H59" s="609"/>
      <c r="I59" s="609"/>
      <c r="J59" s="609"/>
    </row>
    <row r="60" spans="1:10">
      <c r="A60" s="644" t="s">
        <v>1104</v>
      </c>
      <c r="B60" s="646">
        <v>0.9</v>
      </c>
      <c r="C60" s="646">
        <v>6.4630000000000007E-2</v>
      </c>
      <c r="D60" s="646">
        <v>2.8487</v>
      </c>
      <c r="E60" s="654">
        <v>2.5174799999999999</v>
      </c>
      <c r="F60" s="609"/>
      <c r="G60" s="609"/>
      <c r="H60" s="609"/>
      <c r="I60" s="609"/>
      <c r="J60" s="609"/>
    </row>
    <row r="61" spans="1:10">
      <c r="A61" s="644" t="s">
        <v>1105</v>
      </c>
      <c r="B61" s="646">
        <v>0.9</v>
      </c>
      <c r="C61" s="646">
        <v>6.4630000000000007E-2</v>
      </c>
      <c r="D61" s="646">
        <v>2.8487</v>
      </c>
      <c r="E61" s="654">
        <v>2.5174799999999999</v>
      </c>
      <c r="F61" s="609"/>
      <c r="G61" s="609"/>
      <c r="H61" s="609" t="s">
        <v>1124</v>
      </c>
      <c r="I61" s="609"/>
      <c r="J61" s="609"/>
    </row>
    <row r="62" spans="1:10">
      <c r="A62" s="644" t="s">
        <v>1106</v>
      </c>
      <c r="B62" s="646">
        <v>0.9</v>
      </c>
      <c r="C62" s="646">
        <v>6.4630000000000007E-2</v>
      </c>
      <c r="D62" s="646">
        <v>2.8487</v>
      </c>
      <c r="E62" s="654">
        <v>2.5174799999999999</v>
      </c>
      <c r="F62" s="609"/>
      <c r="G62" s="609"/>
      <c r="H62" s="655">
        <v>2.8486799999999999</v>
      </c>
      <c r="I62" s="609"/>
      <c r="J62" s="609"/>
    </row>
    <row r="63" spans="1:10">
      <c r="A63" s="644" t="s">
        <v>1107</v>
      </c>
      <c r="B63" s="646">
        <v>0.9</v>
      </c>
      <c r="C63" s="646">
        <v>6.4630000000000007E-2</v>
      </c>
      <c r="D63" s="646">
        <v>2.8487</v>
      </c>
      <c r="E63" s="654">
        <v>2.5174799999999999</v>
      </c>
      <c r="F63" s="609"/>
      <c r="G63" s="609"/>
      <c r="H63" s="609"/>
      <c r="I63" s="609"/>
      <c r="J63" s="609"/>
    </row>
    <row r="64" spans="1:10">
      <c r="A64" s="684" t="s">
        <v>1108</v>
      </c>
      <c r="B64" s="646">
        <v>0.9</v>
      </c>
      <c r="C64" s="646">
        <v>6.4630000000000007E-2</v>
      </c>
      <c r="D64" s="646">
        <v>2.8487</v>
      </c>
      <c r="E64" s="654">
        <v>2.5174799999999999</v>
      </c>
      <c r="F64" s="609"/>
      <c r="G64" s="609"/>
      <c r="H64" s="609"/>
      <c r="I64" s="609"/>
      <c r="J64" s="609"/>
    </row>
    <row r="67" spans="1:6">
      <c r="A67" s="410" t="s">
        <v>1125</v>
      </c>
      <c r="B67" s="410"/>
      <c r="C67" s="410"/>
      <c r="D67" s="410"/>
      <c r="E67" s="410"/>
      <c r="F67" s="317" t="s">
        <v>1126</v>
      </c>
    </row>
    <row r="68" spans="1:6" ht="28.9">
      <c r="A68" s="643"/>
      <c r="B68" s="411" t="s">
        <v>1082</v>
      </c>
      <c r="C68" s="411" t="s">
        <v>1083</v>
      </c>
      <c r="D68" s="411" t="s">
        <v>1084</v>
      </c>
      <c r="E68" s="411" t="s">
        <v>1085</v>
      </c>
      <c r="F68" s="609"/>
    </row>
    <row r="69" spans="1:6">
      <c r="A69" s="412"/>
      <c r="B69" s="412" t="s">
        <v>1089</v>
      </c>
      <c r="C69" s="412" t="s">
        <v>1090</v>
      </c>
      <c r="D69" s="412" t="s">
        <v>1091</v>
      </c>
      <c r="E69" s="412" t="s">
        <v>1092</v>
      </c>
      <c r="F69" s="609"/>
    </row>
    <row r="70" spans="1:6">
      <c r="A70" s="413" t="s">
        <v>327</v>
      </c>
      <c r="B70" s="414" t="s">
        <v>1094</v>
      </c>
      <c r="C70" s="414" t="s">
        <v>1095</v>
      </c>
      <c r="D70" s="414" t="s">
        <v>1096</v>
      </c>
      <c r="E70" s="415" t="s">
        <v>1097</v>
      </c>
      <c r="F70" s="609"/>
    </row>
    <row r="71" spans="1:6">
      <c r="A71" s="644" t="s">
        <v>1101</v>
      </c>
      <c r="B71" s="278">
        <v>0.9</v>
      </c>
      <c r="C71" s="278">
        <v>6.4630000000000007E-2</v>
      </c>
      <c r="D71" s="420">
        <v>2.8486799999999999</v>
      </c>
      <c r="E71" s="421">
        <v>2.5174799999999999</v>
      </c>
      <c r="F71" s="609"/>
    </row>
    <row r="72" spans="1:6">
      <c r="A72" s="644" t="s">
        <v>1102</v>
      </c>
      <c r="B72" s="278">
        <v>0.9</v>
      </c>
      <c r="C72" s="278">
        <v>6.4630000000000007E-2</v>
      </c>
      <c r="D72" s="420">
        <v>2.8486799999999999</v>
      </c>
      <c r="E72" s="421">
        <v>2.5174799999999999</v>
      </c>
      <c r="F72" s="609"/>
    </row>
    <row r="73" spans="1:6">
      <c r="A73" s="644" t="s">
        <v>1103</v>
      </c>
      <c r="B73" s="278">
        <v>0.69</v>
      </c>
      <c r="C73" s="420">
        <v>5.1529999999999999E-2</v>
      </c>
      <c r="D73" s="420">
        <v>2.8486799999999999</v>
      </c>
      <c r="E73" s="421">
        <v>2.5174799999999999</v>
      </c>
      <c r="F73" s="609"/>
    </row>
    <row r="74" spans="1:6">
      <c r="A74" s="644" t="s">
        <v>1104</v>
      </c>
      <c r="B74" s="278">
        <v>0.93</v>
      </c>
      <c r="C74" s="420">
        <v>6.0330000000000002E-2</v>
      </c>
      <c r="D74" s="420">
        <v>2.8486799999999999</v>
      </c>
      <c r="E74" s="421">
        <v>2.5174799999999999</v>
      </c>
      <c r="F74" s="609"/>
    </row>
    <row r="75" spans="1:6">
      <c r="A75" s="644" t="s">
        <v>1105</v>
      </c>
      <c r="B75" s="278">
        <v>0.52</v>
      </c>
      <c r="C75" s="278">
        <v>6.2230000000000001E-2</v>
      </c>
      <c r="D75" s="420">
        <v>2.8486799999999999</v>
      </c>
      <c r="E75" s="421">
        <v>2.5174799999999999</v>
      </c>
      <c r="F75" s="609"/>
    </row>
    <row r="76" spans="1:6">
      <c r="A76" s="644" t="s">
        <v>1106</v>
      </c>
      <c r="B76" s="278">
        <v>1</v>
      </c>
      <c r="C76" s="278">
        <v>0.20830000000000001</v>
      </c>
      <c r="D76" s="420">
        <v>8.0417000000000005</v>
      </c>
      <c r="E76" s="421"/>
      <c r="F76" s="609"/>
    </row>
    <row r="77" spans="1:6">
      <c r="A77" s="644" t="s">
        <v>1107</v>
      </c>
      <c r="B77" s="278">
        <v>1.0900000000000001</v>
      </c>
      <c r="C77" s="278">
        <v>5.5530000000000003E-2</v>
      </c>
      <c r="D77" s="420">
        <v>2.8486799999999999</v>
      </c>
      <c r="E77" s="421">
        <v>2.5174799999999999</v>
      </c>
      <c r="F77" s="609"/>
    </row>
    <row r="78" spans="1:6">
      <c r="A78" s="684" t="s">
        <v>1108</v>
      </c>
      <c r="B78" s="278">
        <v>0.7</v>
      </c>
      <c r="C78" s="278">
        <v>5.5629999999999999E-2</v>
      </c>
      <c r="D78" s="420">
        <v>2.8486799999999999</v>
      </c>
      <c r="E78" s="421">
        <v>2.5174799999999999</v>
      </c>
      <c r="F78" s="609"/>
    </row>
    <row r="80" spans="1:6">
      <c r="A80" s="422" t="s">
        <v>1127</v>
      </c>
      <c r="B80" s="422"/>
      <c r="C80" s="422"/>
      <c r="D80" s="422"/>
      <c r="E80" s="422"/>
      <c r="F80" s="609"/>
    </row>
    <row r="81" spans="1:12">
      <c r="A81" s="423" t="s">
        <v>1128</v>
      </c>
      <c r="B81" s="422"/>
      <c r="C81" s="422"/>
      <c r="D81" s="422"/>
      <c r="E81" s="422"/>
      <c r="F81" s="609"/>
      <c r="G81" s="609"/>
      <c r="H81" s="609"/>
      <c r="I81" s="609"/>
      <c r="J81" s="609"/>
      <c r="K81" s="609"/>
      <c r="L81" s="609"/>
    </row>
    <row r="82" spans="1:12" ht="28.9">
      <c r="A82" s="654"/>
      <c r="B82" s="424" t="s">
        <v>1082</v>
      </c>
      <c r="C82" s="424" t="s">
        <v>1083</v>
      </c>
      <c r="D82" s="424" t="s">
        <v>1084</v>
      </c>
      <c r="E82" s="424" t="s">
        <v>1085</v>
      </c>
      <c r="F82" s="609"/>
      <c r="G82" s="609"/>
      <c r="H82" s="609"/>
      <c r="I82" s="609"/>
      <c r="J82" s="609"/>
      <c r="K82" s="609"/>
      <c r="L82" s="609"/>
    </row>
    <row r="83" spans="1:12">
      <c r="A83" s="609"/>
      <c r="B83" s="425" t="s">
        <v>1089</v>
      </c>
      <c r="C83" s="425" t="s">
        <v>1090</v>
      </c>
      <c r="D83" s="425" t="s">
        <v>1091</v>
      </c>
      <c r="E83" s="425" t="s">
        <v>1092</v>
      </c>
      <c r="F83" s="609"/>
      <c r="G83" s="609"/>
      <c r="H83" s="609"/>
      <c r="I83" s="609"/>
      <c r="J83" s="609"/>
      <c r="K83" s="609"/>
      <c r="L83" s="609"/>
    </row>
    <row r="84" spans="1:12">
      <c r="A84" s="426" t="s">
        <v>327</v>
      </c>
      <c r="B84" s="427" t="s">
        <v>1129</v>
      </c>
      <c r="C84" s="427" t="s">
        <v>1130</v>
      </c>
      <c r="D84" s="427" t="s">
        <v>1131</v>
      </c>
      <c r="E84" s="428" t="s">
        <v>1132</v>
      </c>
      <c r="F84" s="609"/>
      <c r="G84" s="609"/>
      <c r="H84" s="609"/>
      <c r="I84" s="609"/>
      <c r="J84" s="609"/>
      <c r="K84" s="609"/>
      <c r="L84" s="609"/>
    </row>
    <row r="85" spans="1:12">
      <c r="A85" s="649" t="s">
        <v>1101</v>
      </c>
      <c r="B85" s="654">
        <v>0.95</v>
      </c>
      <c r="C85" s="654">
        <v>6.3888888888888884E-2</v>
      </c>
      <c r="D85" s="654">
        <v>2.8486799999999999</v>
      </c>
      <c r="E85" s="645">
        <v>2.3064</v>
      </c>
      <c r="F85" s="609"/>
      <c r="G85" s="609"/>
      <c r="H85" s="609"/>
      <c r="I85" s="609">
        <f>tbl_SGE_AB_2018[[#This Row],[SGEe2018]]/3.6</f>
        <v>0.2638888888888889</v>
      </c>
      <c r="J85" s="609">
        <f>tbl_SGE_AB_2018[[#This Row],[SGEg2018]]</f>
        <v>6.3888888888888884E-2</v>
      </c>
      <c r="K85" s="609"/>
      <c r="L85" s="609"/>
    </row>
    <row r="86" spans="1:12">
      <c r="A86" s="649" t="s">
        <v>1102</v>
      </c>
      <c r="B86" s="654">
        <v>0.95</v>
      </c>
      <c r="C86" s="654">
        <v>6.3888888888888884E-2</v>
      </c>
      <c r="D86" s="654">
        <v>2.8486799999999999</v>
      </c>
      <c r="E86" s="645">
        <v>2.3064</v>
      </c>
      <c r="F86" s="609"/>
      <c r="G86" s="609"/>
      <c r="H86" s="609"/>
      <c r="I86" s="609"/>
      <c r="J86" s="609"/>
      <c r="K86" s="609"/>
      <c r="L86" s="609"/>
    </row>
    <row r="87" spans="1:12">
      <c r="A87" s="649" t="s">
        <v>1133</v>
      </c>
      <c r="B87" s="654">
        <v>0.95</v>
      </c>
      <c r="C87" s="654">
        <v>6.3888888888888884E-2</v>
      </c>
      <c r="D87" s="654">
        <v>2.8486799999999999</v>
      </c>
      <c r="E87" s="645">
        <v>2.3064</v>
      </c>
      <c r="F87" s="609"/>
      <c r="G87" s="609"/>
      <c r="H87" s="609"/>
      <c r="I87" s="609"/>
      <c r="J87" s="609"/>
      <c r="K87" s="609"/>
      <c r="L87" s="609"/>
    </row>
    <row r="88" spans="1:12">
      <c r="A88" s="649" t="s">
        <v>1134</v>
      </c>
      <c r="B88" s="654">
        <v>0.95</v>
      </c>
      <c r="C88" s="654">
        <v>6.3888888888888884E-2</v>
      </c>
      <c r="D88" s="654">
        <v>2.8486799999999999</v>
      </c>
      <c r="E88" s="645">
        <v>2.3064</v>
      </c>
      <c r="F88" s="609"/>
      <c r="G88" s="609"/>
      <c r="H88" s="609"/>
      <c r="I88" s="609"/>
      <c r="J88" s="609"/>
      <c r="K88" s="609"/>
      <c r="L88" s="609"/>
    </row>
    <row r="89" spans="1:12">
      <c r="A89" s="649" t="s">
        <v>1135</v>
      </c>
      <c r="B89" s="654">
        <v>0.95</v>
      </c>
      <c r="C89" s="654">
        <v>6.3888888888888884E-2</v>
      </c>
      <c r="D89" s="654">
        <v>2.8486799999999999</v>
      </c>
      <c r="E89" s="645">
        <v>2.3064</v>
      </c>
      <c r="F89" s="609"/>
      <c r="G89" s="609"/>
      <c r="H89" s="609"/>
      <c r="I89" s="609"/>
      <c r="J89" s="609"/>
      <c r="K89" s="609"/>
      <c r="L89" s="609"/>
    </row>
    <row r="90" spans="1:12">
      <c r="A90" s="649" t="s">
        <v>1136</v>
      </c>
      <c r="B90" s="654">
        <v>0.95</v>
      </c>
      <c r="C90" s="646">
        <v>6.3888888888888884E-2</v>
      </c>
      <c r="D90" s="654">
        <v>2.8486799999999999</v>
      </c>
      <c r="E90" s="647">
        <v>4.2972000000000001</v>
      </c>
      <c r="F90" s="609"/>
      <c r="G90" s="609"/>
      <c r="H90" s="609"/>
      <c r="I90" s="609"/>
      <c r="J90" s="609"/>
      <c r="K90" s="609"/>
      <c r="L90" s="609"/>
    </row>
    <row r="91" spans="1:12">
      <c r="A91" s="649" t="s">
        <v>1137</v>
      </c>
      <c r="B91" s="654">
        <v>0.95</v>
      </c>
      <c r="C91" s="654">
        <v>6.3888888888888884E-2</v>
      </c>
      <c r="D91" s="654">
        <v>2.8486799999999999</v>
      </c>
      <c r="E91" s="645">
        <v>2.3064</v>
      </c>
      <c r="F91" s="609"/>
      <c r="G91" s="609"/>
      <c r="H91" s="609"/>
      <c r="I91" s="609"/>
      <c r="J91" s="609"/>
      <c r="K91" s="609"/>
      <c r="L91" s="609"/>
    </row>
    <row r="92" spans="1:12">
      <c r="A92" s="678" t="s">
        <v>1138</v>
      </c>
      <c r="B92" s="688">
        <v>0.95</v>
      </c>
      <c r="C92" s="688">
        <v>6.3888888888888884E-2</v>
      </c>
      <c r="D92" s="688">
        <v>2.8486799999999999</v>
      </c>
      <c r="E92" s="687">
        <v>2.3064</v>
      </c>
      <c r="F92" s="609"/>
      <c r="G92" s="609"/>
      <c r="H92" s="609"/>
      <c r="I92" s="609"/>
      <c r="J92" s="609"/>
      <c r="K92" s="609"/>
      <c r="L92" s="609"/>
    </row>
    <row r="94" spans="1:12">
      <c r="A94" s="422" t="s">
        <v>1139</v>
      </c>
      <c r="B94" s="422"/>
      <c r="C94" s="422"/>
      <c r="D94" s="422"/>
      <c r="E94" s="422"/>
      <c r="F94" s="609"/>
      <c r="G94" s="609"/>
      <c r="H94" s="609"/>
      <c r="I94" s="609"/>
      <c r="J94" s="609"/>
      <c r="K94" s="609"/>
      <c r="L94" s="609"/>
    </row>
    <row r="95" spans="1:12">
      <c r="A95" s="423" t="s">
        <v>1140</v>
      </c>
      <c r="B95" s="423"/>
      <c r="C95" s="423"/>
      <c r="D95" s="423"/>
      <c r="E95" s="423"/>
      <c r="F95" s="609"/>
      <c r="G95" s="609"/>
      <c r="H95" s="609"/>
      <c r="I95" s="609"/>
      <c r="J95" s="609"/>
      <c r="K95" s="609"/>
      <c r="L95" s="609"/>
    </row>
    <row r="96" spans="1:12" ht="28.9">
      <c r="A96" s="654"/>
      <c r="B96" s="424" t="s">
        <v>1082</v>
      </c>
      <c r="C96" s="424" t="s">
        <v>1083</v>
      </c>
      <c r="D96" s="424" t="s">
        <v>1084</v>
      </c>
      <c r="E96" s="424" t="s">
        <v>1141</v>
      </c>
      <c r="F96" s="609"/>
      <c r="G96" s="609"/>
      <c r="H96" s="429"/>
      <c r="I96" s="430" t="s">
        <v>321</v>
      </c>
      <c r="J96" s="430" t="s">
        <v>322</v>
      </c>
      <c r="K96" s="430" t="s">
        <v>851</v>
      </c>
      <c r="L96" s="430" t="s">
        <v>323</v>
      </c>
    </row>
    <row r="97" spans="1:15">
      <c r="A97" s="609"/>
      <c r="B97" s="425" t="s">
        <v>1089</v>
      </c>
      <c r="C97" s="425" t="s">
        <v>1090</v>
      </c>
      <c r="D97" s="425" t="s">
        <v>1091</v>
      </c>
      <c r="E97" s="425" t="s">
        <v>1091</v>
      </c>
      <c r="F97" s="609"/>
      <c r="G97" s="609"/>
      <c r="H97" s="429" t="s">
        <v>327</v>
      </c>
      <c r="I97" s="430" t="s">
        <v>1089</v>
      </c>
      <c r="J97" s="430" t="s">
        <v>1090</v>
      </c>
      <c r="K97" s="430" t="s">
        <v>1142</v>
      </c>
      <c r="L97" s="430" t="s">
        <v>1142</v>
      </c>
      <c r="M97" s="609"/>
      <c r="N97" s="609"/>
      <c r="O97" s="609"/>
    </row>
    <row r="98" spans="1:15">
      <c r="A98" s="426" t="s">
        <v>327</v>
      </c>
      <c r="B98" s="427" t="s">
        <v>1143</v>
      </c>
      <c r="C98" s="427" t="s">
        <v>1144</v>
      </c>
      <c r="D98" s="427" t="s">
        <v>1145</v>
      </c>
      <c r="E98" s="428" t="s">
        <v>1146</v>
      </c>
      <c r="F98" s="609"/>
      <c r="G98" s="609"/>
      <c r="H98" s="431" t="s">
        <v>1101</v>
      </c>
      <c r="I98" s="430">
        <v>0.99</v>
      </c>
      <c r="J98" s="430">
        <v>6.4130000000000006E-2</v>
      </c>
      <c r="K98" s="432">
        <v>1.6481410000000001</v>
      </c>
      <c r="L98" s="432">
        <v>7.8164999999999996</v>
      </c>
      <c r="M98" s="609"/>
      <c r="N98" s="609"/>
      <c r="O98" s="609">
        <f>L98/3.6</f>
        <v>2.1712499999999997</v>
      </c>
    </row>
    <row r="99" spans="1:15">
      <c r="A99" s="649" t="s">
        <v>1101</v>
      </c>
      <c r="B99" s="654">
        <v>0.99</v>
      </c>
      <c r="C99" s="654">
        <v>6.4130000000000006E-2</v>
      </c>
      <c r="D99" s="654">
        <v>7.8164999999999996</v>
      </c>
      <c r="E99" s="645">
        <v>1.6481410000000001</v>
      </c>
      <c r="F99" s="609"/>
      <c r="G99" s="609"/>
      <c r="H99" s="431" t="s">
        <v>1102</v>
      </c>
      <c r="I99" s="430">
        <v>0.99</v>
      </c>
      <c r="J99" s="432">
        <v>6.4130000000000006E-2</v>
      </c>
      <c r="K99" s="432">
        <v>1.6481410000000001</v>
      </c>
      <c r="L99" s="432">
        <v>7.8164999999999996</v>
      </c>
      <c r="M99" s="609"/>
      <c r="N99" s="609"/>
      <c r="O99" s="609"/>
    </row>
    <row r="100" spans="1:15">
      <c r="A100" s="649" t="s">
        <v>1102</v>
      </c>
      <c r="B100" s="654">
        <v>0.99</v>
      </c>
      <c r="C100" s="654">
        <v>6.4130000000000006E-2</v>
      </c>
      <c r="D100" s="654">
        <v>7.8164999999999996</v>
      </c>
      <c r="E100" s="645">
        <v>1.6481410000000001</v>
      </c>
      <c r="F100" s="609"/>
      <c r="G100" s="609"/>
      <c r="H100" s="431" t="s">
        <v>1103</v>
      </c>
      <c r="I100" s="430">
        <v>0.79</v>
      </c>
      <c r="J100" s="432">
        <v>5.1330000000000008E-2</v>
      </c>
      <c r="K100" s="433">
        <v>2.3063560000000001</v>
      </c>
      <c r="L100" s="433">
        <v>2.8872800000000001</v>
      </c>
      <c r="M100" s="609"/>
      <c r="N100" s="609"/>
      <c r="O100" s="609"/>
    </row>
    <row r="101" spans="1:15">
      <c r="A101" s="649" t="s">
        <v>1133</v>
      </c>
      <c r="B101" s="654">
        <v>0.79</v>
      </c>
      <c r="C101" s="654">
        <v>5.1330000000000008E-2</v>
      </c>
      <c r="D101" s="654">
        <v>2.8872800000000001</v>
      </c>
      <c r="E101" s="645">
        <v>2.3063560000000001</v>
      </c>
      <c r="F101" s="609"/>
      <c r="G101" s="609"/>
      <c r="H101" s="431" t="s">
        <v>1104</v>
      </c>
      <c r="I101" s="430">
        <v>0.93</v>
      </c>
      <c r="J101" s="430">
        <v>6.003E-2</v>
      </c>
      <c r="K101" s="433">
        <v>1.5427709999999999</v>
      </c>
      <c r="L101" s="433">
        <v>7.8164999999999996</v>
      </c>
      <c r="M101" s="609"/>
      <c r="N101" s="609"/>
      <c r="O101" s="609"/>
    </row>
    <row r="102" spans="1:15">
      <c r="A102" s="649" t="s">
        <v>1134</v>
      </c>
      <c r="B102" s="654">
        <v>0.93</v>
      </c>
      <c r="C102" s="654">
        <v>6.003E-2</v>
      </c>
      <c r="D102" s="654">
        <v>7.8164999999999996</v>
      </c>
      <c r="E102" s="645">
        <v>1.5427709999999999</v>
      </c>
      <c r="F102" s="609"/>
      <c r="G102" s="609"/>
      <c r="H102" s="431" t="s">
        <v>1105</v>
      </c>
      <c r="I102" s="430">
        <v>0.72</v>
      </c>
      <c r="J102" s="430">
        <v>6.1730000000000007E-2</v>
      </c>
      <c r="K102" s="433">
        <v>1.5864610000000001</v>
      </c>
      <c r="L102" s="433">
        <v>7.8164999999999996</v>
      </c>
      <c r="M102" s="609"/>
      <c r="N102" s="609"/>
      <c r="O102" s="609"/>
    </row>
    <row r="103" spans="1:15">
      <c r="A103" s="649" t="s">
        <v>1135</v>
      </c>
      <c r="B103" s="654">
        <v>0.72</v>
      </c>
      <c r="C103" s="654">
        <v>6.1730000000000007E-2</v>
      </c>
      <c r="D103" s="654">
        <v>7.8164999999999996</v>
      </c>
      <c r="E103" s="645">
        <v>1.5864610000000001</v>
      </c>
      <c r="F103" s="609"/>
      <c r="G103" s="609"/>
      <c r="H103" s="431" t="s">
        <v>1106</v>
      </c>
      <c r="I103" s="430">
        <v>1</v>
      </c>
      <c r="J103" s="432">
        <v>0.75</v>
      </c>
      <c r="K103" s="433">
        <v>1.3191810000000002</v>
      </c>
      <c r="L103" s="433">
        <v>7.8164999999999996</v>
      </c>
      <c r="M103" s="609"/>
      <c r="N103" s="609"/>
      <c r="O103" s="609"/>
    </row>
    <row r="104" spans="1:15">
      <c r="A104" s="649" t="s">
        <v>1136</v>
      </c>
      <c r="B104" s="654">
        <v>1</v>
      </c>
      <c r="C104" s="646">
        <v>0.75</v>
      </c>
      <c r="D104" s="654">
        <v>7.8164999999999996</v>
      </c>
      <c r="E104" s="647">
        <v>1.3191810000000002</v>
      </c>
      <c r="F104" s="609"/>
      <c r="G104" s="609"/>
      <c r="H104" s="431" t="s">
        <v>1107</v>
      </c>
      <c r="I104" s="430">
        <v>1.34</v>
      </c>
      <c r="J104" s="430">
        <v>5.5230000000000001E-2</v>
      </c>
      <c r="K104" s="433">
        <v>1.419411</v>
      </c>
      <c r="L104" s="433">
        <v>7.8164999999999996</v>
      </c>
      <c r="M104" s="609"/>
      <c r="N104" s="609"/>
      <c r="O104" s="609"/>
    </row>
    <row r="105" spans="1:15">
      <c r="A105" s="649" t="s">
        <v>1137</v>
      </c>
      <c r="B105" s="654">
        <v>1.34</v>
      </c>
      <c r="C105" s="654">
        <v>5.5230000000000001E-2</v>
      </c>
      <c r="D105" s="654">
        <v>7.8164999999999996</v>
      </c>
      <c r="E105" s="645">
        <v>1.419411</v>
      </c>
      <c r="F105" s="609"/>
      <c r="G105" s="609"/>
      <c r="H105" s="431" t="s">
        <v>1108</v>
      </c>
      <c r="I105" s="430">
        <v>0.83</v>
      </c>
      <c r="J105" s="430">
        <v>5.5330000000000004E-2</v>
      </c>
      <c r="K105" s="433">
        <v>1.4219810000000002</v>
      </c>
      <c r="L105" s="433">
        <v>7.8164999999999996</v>
      </c>
      <c r="M105" s="609"/>
      <c r="N105" s="609"/>
      <c r="O105" s="609"/>
    </row>
    <row r="106" spans="1:15">
      <c r="A106" s="678" t="s">
        <v>1138</v>
      </c>
      <c r="B106" s="688">
        <v>0.83</v>
      </c>
      <c r="C106" s="688">
        <v>5.5330000000000004E-2</v>
      </c>
      <c r="D106" s="688">
        <v>7.8164999999999996</v>
      </c>
      <c r="E106" s="687">
        <v>1.4219810000000002</v>
      </c>
      <c r="F106" s="609"/>
      <c r="G106" s="609"/>
      <c r="H106" s="609"/>
      <c r="I106" s="609"/>
      <c r="J106" s="609"/>
      <c r="K106" s="609"/>
      <c r="L106" s="609"/>
      <c r="M106" s="609"/>
      <c r="N106" s="609"/>
      <c r="O106" s="609"/>
    </row>
    <row r="107" spans="1:15">
      <c r="A107" s="166"/>
      <c r="B107" s="656"/>
      <c r="C107" s="656"/>
      <c r="D107" s="656"/>
      <c r="E107" s="656"/>
      <c r="F107" s="609"/>
      <c r="G107" s="609"/>
      <c r="H107" s="609"/>
      <c r="I107" s="609"/>
      <c r="J107" s="609"/>
      <c r="K107" s="609"/>
      <c r="L107" s="609"/>
      <c r="M107" s="609"/>
      <c r="N107" s="609"/>
      <c r="O107" s="609"/>
    </row>
    <row r="108" spans="1:15">
      <c r="A108" s="576" t="s">
        <v>1147</v>
      </c>
      <c r="B108" s="441"/>
      <c r="C108" s="441"/>
      <c r="D108" s="441"/>
      <c r="E108" s="441"/>
      <c r="F108" s="609"/>
      <c r="G108" s="609"/>
      <c r="H108" s="609"/>
      <c r="I108" s="609"/>
      <c r="J108" s="609"/>
      <c r="K108" s="609"/>
      <c r="L108" s="609"/>
      <c r="M108" s="609"/>
      <c r="N108" s="609"/>
      <c r="O108" s="609"/>
    </row>
    <row r="109" spans="1:15">
      <c r="A109" s="278" t="s">
        <v>327</v>
      </c>
      <c r="B109" s="577" t="s">
        <v>1143</v>
      </c>
      <c r="C109" s="495" t="s">
        <v>1144</v>
      </c>
      <c r="D109" s="495" t="s">
        <v>1145</v>
      </c>
      <c r="E109" s="495" t="s">
        <v>1146</v>
      </c>
      <c r="F109" s="609"/>
      <c r="G109" s="609"/>
      <c r="H109" s="609"/>
      <c r="I109" s="609"/>
      <c r="J109" s="609"/>
      <c r="K109" s="609"/>
      <c r="L109" s="609"/>
      <c r="M109" s="609"/>
      <c r="N109" s="609"/>
      <c r="O109" s="609"/>
    </row>
    <row r="110" spans="1:15">
      <c r="A110" s="278" t="s">
        <v>1148</v>
      </c>
      <c r="B110" s="495">
        <v>0.98</v>
      </c>
      <c r="C110" s="495">
        <v>6.5000000000000002E-2</v>
      </c>
      <c r="D110" s="495">
        <v>7.8164999999999996</v>
      </c>
      <c r="E110" s="495">
        <v>1.643</v>
      </c>
      <c r="F110" s="609"/>
      <c r="G110" s="609"/>
      <c r="H110" s="609"/>
      <c r="I110" s="609"/>
      <c r="J110" s="609"/>
      <c r="K110" s="609"/>
      <c r="L110" s="609"/>
      <c r="M110" s="609"/>
      <c r="N110" s="609"/>
      <c r="O110" s="609"/>
    </row>
    <row r="111" spans="1:15">
      <c r="A111" s="166"/>
      <c r="B111" s="656"/>
      <c r="C111" s="656"/>
      <c r="D111" s="656"/>
      <c r="E111" s="656"/>
      <c r="F111" s="609"/>
      <c r="G111" s="609"/>
      <c r="H111" s="609"/>
      <c r="I111" s="609"/>
      <c r="J111" s="609"/>
      <c r="K111" s="609"/>
      <c r="L111" s="609"/>
      <c r="M111" s="609"/>
      <c r="N111" s="609"/>
      <c r="O111" s="609"/>
    </row>
    <row r="112" spans="1:15">
      <c r="A112" s="166"/>
      <c r="B112" s="656"/>
      <c r="C112" s="656"/>
      <c r="D112" s="656"/>
      <c r="E112" s="656"/>
      <c r="F112" s="609"/>
      <c r="G112" s="609"/>
      <c r="H112" s="609"/>
      <c r="I112" s="609"/>
      <c r="J112" s="609"/>
      <c r="K112" s="609"/>
      <c r="L112" s="609"/>
      <c r="M112" s="609"/>
      <c r="N112" s="609"/>
      <c r="O112" s="609"/>
    </row>
    <row r="114" spans="1:6">
      <c r="A114" s="422" t="s">
        <v>1149</v>
      </c>
      <c r="B114" s="422"/>
      <c r="C114" s="422"/>
      <c r="D114" s="422"/>
      <c r="E114" s="422"/>
      <c r="F114" s="609"/>
    </row>
    <row r="115" spans="1:6">
      <c r="A115" s="423" t="s">
        <v>1150</v>
      </c>
      <c r="B115" s="422"/>
      <c r="C115" s="422"/>
      <c r="D115" s="422"/>
      <c r="E115" s="422"/>
      <c r="F115" s="609"/>
    </row>
    <row r="116" spans="1:6">
      <c r="A116" s="434" t="s">
        <v>327</v>
      </c>
      <c r="B116" s="435" t="s">
        <v>1151</v>
      </c>
      <c r="C116" s="436" t="s">
        <v>1152</v>
      </c>
      <c r="D116" s="436" t="s">
        <v>1153</v>
      </c>
      <c r="E116" s="437" t="s">
        <v>1154</v>
      </c>
      <c r="F116" s="609"/>
    </row>
    <row r="117" spans="1:6">
      <c r="A117" s="657" t="s">
        <v>1101</v>
      </c>
      <c r="B117" s="438">
        <v>0.79</v>
      </c>
      <c r="C117" s="438">
        <v>6.4630000000000007E-2</v>
      </c>
      <c r="D117" s="438">
        <v>3.3775000000000004</v>
      </c>
      <c r="E117" s="658">
        <v>2.0765599999999997</v>
      </c>
      <c r="F117" s="609"/>
    </row>
    <row r="118" spans="1:6">
      <c r="A118" s="657" t="s">
        <v>1102</v>
      </c>
      <c r="B118" s="438">
        <v>0.79</v>
      </c>
      <c r="C118" s="438">
        <v>6.4630000000000007E-2</v>
      </c>
      <c r="D118" s="438">
        <v>3.3775000000000004</v>
      </c>
      <c r="E118" s="658">
        <v>2.0765599999999997</v>
      </c>
      <c r="F118" s="609"/>
    </row>
    <row r="119" spans="1:6">
      <c r="A119" s="657" t="s">
        <v>1103</v>
      </c>
      <c r="B119" s="438">
        <v>0.61</v>
      </c>
      <c r="C119" s="438">
        <v>5.1529999999999999E-2</v>
      </c>
      <c r="D119" s="438">
        <v>3.3775000000000004</v>
      </c>
      <c r="E119" s="658">
        <v>2.0765599999999997</v>
      </c>
      <c r="F119" s="609"/>
    </row>
    <row r="120" spans="1:6">
      <c r="A120" s="657" t="s">
        <v>1104</v>
      </c>
      <c r="B120" s="438">
        <v>0.85</v>
      </c>
      <c r="C120" s="438">
        <v>6.0330000000000002E-2</v>
      </c>
      <c r="D120" s="438">
        <v>3.3775000000000004</v>
      </c>
      <c r="E120" s="658">
        <v>2.0765599999999997</v>
      </c>
      <c r="F120" s="609"/>
    </row>
    <row r="121" spans="1:6">
      <c r="A121" s="657" t="s">
        <v>1105</v>
      </c>
      <c r="B121" s="438">
        <v>0.33</v>
      </c>
      <c r="C121" s="438">
        <v>6.2230000000000001E-2</v>
      </c>
      <c r="D121" s="438">
        <v>3.3775000000000004</v>
      </c>
      <c r="E121" s="658">
        <v>2.0765599999999997</v>
      </c>
      <c r="F121" s="609"/>
    </row>
    <row r="122" spans="1:6">
      <c r="A122" s="657" t="s">
        <v>1106</v>
      </c>
      <c r="B122" s="438">
        <v>0.18</v>
      </c>
      <c r="C122" s="438">
        <v>5.1529999999999999E-2</v>
      </c>
      <c r="D122" s="438">
        <v>3.3775000000000004</v>
      </c>
      <c r="E122" s="658">
        <v>2.0765599999999997</v>
      </c>
      <c r="F122" s="609"/>
    </row>
    <row r="123" spans="1:6">
      <c r="A123" s="657" t="s">
        <v>1107</v>
      </c>
      <c r="B123" s="438">
        <v>0.91999999999999993</v>
      </c>
      <c r="C123" s="438">
        <v>5.5529999999999996E-2</v>
      </c>
      <c r="D123" s="438">
        <v>3.3775000000000004</v>
      </c>
      <c r="E123" s="658">
        <v>2.0765599999999997</v>
      </c>
      <c r="F123" s="609"/>
    </row>
    <row r="124" spans="1:6">
      <c r="A124" s="689" t="s">
        <v>1108</v>
      </c>
      <c r="B124" s="690">
        <v>0.55000000000000004</v>
      </c>
      <c r="C124" s="690">
        <v>5.5629999999999999E-2</v>
      </c>
      <c r="D124" s="438">
        <v>3.3775000000000004</v>
      </c>
      <c r="E124" s="658">
        <v>2.0765599999999997</v>
      </c>
      <c r="F124" s="609"/>
    </row>
    <row r="127" spans="1:6">
      <c r="A127" s="422" t="s">
        <v>1155</v>
      </c>
      <c r="B127" s="422"/>
      <c r="C127" s="422"/>
      <c r="D127" s="422"/>
      <c r="E127" s="422"/>
      <c r="F127" s="166"/>
    </row>
    <row r="128" spans="1:6" ht="28.9">
      <c r="A128" s="643"/>
      <c r="B128" s="411" t="s">
        <v>1082</v>
      </c>
      <c r="C128" s="411" t="s">
        <v>1083</v>
      </c>
      <c r="D128" s="411" t="s">
        <v>1084</v>
      </c>
      <c r="E128" s="411" t="s">
        <v>1085</v>
      </c>
      <c r="F128" s="166"/>
    </row>
    <row r="129" spans="1:14">
      <c r="A129" s="685"/>
      <c r="B129" s="691" t="s">
        <v>1089</v>
      </c>
      <c r="C129" s="691" t="s">
        <v>1090</v>
      </c>
      <c r="D129" s="691" t="s">
        <v>1091</v>
      </c>
      <c r="E129" s="691" t="s">
        <v>1092</v>
      </c>
      <c r="F129" s="166"/>
      <c r="G129" s="609"/>
      <c r="H129" s="609"/>
      <c r="I129" s="609"/>
      <c r="J129" s="609"/>
      <c r="K129" s="609"/>
      <c r="L129" s="609"/>
      <c r="M129" s="609"/>
      <c r="N129" s="609"/>
    </row>
    <row r="130" spans="1:14">
      <c r="A130" s="659" t="s">
        <v>327</v>
      </c>
      <c r="B130" s="609" t="s">
        <v>1156</v>
      </c>
      <c r="C130" s="609" t="s">
        <v>1157</v>
      </c>
      <c r="D130" s="609" t="s">
        <v>1158</v>
      </c>
      <c r="E130" s="609" t="s">
        <v>1159</v>
      </c>
      <c r="F130" s="166"/>
      <c r="G130" s="609"/>
      <c r="H130" s="609"/>
      <c r="I130" s="609"/>
      <c r="J130" s="609"/>
      <c r="K130" s="609"/>
      <c r="L130" s="609"/>
      <c r="M130" s="609"/>
      <c r="N130" s="609"/>
    </row>
    <row r="131" spans="1:14">
      <c r="A131" s="649" t="s">
        <v>1101</v>
      </c>
      <c r="B131" s="417">
        <v>1.06</v>
      </c>
      <c r="C131" s="417">
        <v>6.5530000000000005E-2</v>
      </c>
      <c r="D131" s="417">
        <v>2.8873000000000002</v>
      </c>
      <c r="E131" s="417">
        <v>2.3064</v>
      </c>
      <c r="F131" s="166"/>
      <c r="G131" s="609"/>
      <c r="H131" s="609"/>
      <c r="I131" s="609"/>
      <c r="J131" s="609"/>
      <c r="K131" s="609"/>
      <c r="L131" s="609"/>
      <c r="M131" s="609"/>
      <c r="N131" s="609"/>
    </row>
    <row r="132" spans="1:14">
      <c r="A132" s="649" t="s">
        <v>1102</v>
      </c>
      <c r="B132" s="417">
        <v>1.06</v>
      </c>
      <c r="C132" s="417">
        <v>6.5530000000000005E-2</v>
      </c>
      <c r="D132" s="417">
        <v>2.8873000000000002</v>
      </c>
      <c r="E132" s="417">
        <v>2.3064</v>
      </c>
      <c r="F132" s="166"/>
      <c r="G132" s="609"/>
      <c r="H132" s="609"/>
      <c r="I132" s="609"/>
      <c r="J132" s="609"/>
      <c r="K132" s="609"/>
      <c r="L132" s="609"/>
      <c r="M132" s="609"/>
      <c r="N132" s="609"/>
    </row>
    <row r="133" spans="1:14">
      <c r="A133" s="649" t="s">
        <v>1160</v>
      </c>
      <c r="B133" s="417">
        <v>0.79</v>
      </c>
      <c r="C133" s="417">
        <v>5.1330000000000001E-2</v>
      </c>
      <c r="D133" s="417">
        <v>2.8873000000000002</v>
      </c>
      <c r="E133" s="417">
        <v>2.3064</v>
      </c>
      <c r="F133" s="166"/>
      <c r="G133" s="609"/>
      <c r="H133" s="609"/>
      <c r="I133" s="609"/>
      <c r="J133" s="609"/>
      <c r="K133" s="609"/>
      <c r="L133" s="609"/>
      <c r="M133" s="609"/>
      <c r="N133" s="609"/>
    </row>
    <row r="134" spans="1:14">
      <c r="A134" s="649" t="s">
        <v>1161</v>
      </c>
      <c r="B134" s="417">
        <v>0.98</v>
      </c>
      <c r="C134" s="417">
        <v>5.9929999999999997E-2</v>
      </c>
      <c r="D134" s="417">
        <v>2.8873000000000002</v>
      </c>
      <c r="E134" s="417">
        <v>2.3064</v>
      </c>
      <c r="F134" s="166"/>
      <c r="G134" s="609"/>
      <c r="H134" s="609"/>
      <c r="I134" s="609"/>
      <c r="J134" s="609"/>
      <c r="K134" s="609"/>
      <c r="L134" s="609"/>
      <c r="M134" s="609"/>
      <c r="N134" s="609"/>
    </row>
    <row r="135" spans="1:14">
      <c r="A135" s="649" t="s">
        <v>1162</v>
      </c>
      <c r="B135" s="417">
        <v>0.78</v>
      </c>
      <c r="C135" s="417">
        <v>6.173E-2</v>
      </c>
      <c r="D135" s="417">
        <v>2.8873000000000002</v>
      </c>
      <c r="E135" s="417">
        <v>2.3064</v>
      </c>
      <c r="F135" s="166"/>
      <c r="G135" s="609"/>
      <c r="H135" s="609"/>
      <c r="I135" s="609"/>
      <c r="J135" s="609"/>
      <c r="K135" s="609"/>
      <c r="L135" s="609"/>
      <c r="M135" s="609"/>
      <c r="N135" s="609"/>
    </row>
    <row r="136" spans="1:14">
      <c r="A136" s="649" t="s">
        <v>1163</v>
      </c>
      <c r="B136" s="417">
        <v>1</v>
      </c>
      <c r="C136" s="417">
        <v>0.20830000000000001</v>
      </c>
      <c r="D136" s="417">
        <v>8.0417000000000005</v>
      </c>
      <c r="E136" s="417">
        <v>4.2972000000000001</v>
      </c>
      <c r="F136" s="166"/>
      <c r="G136" s="609"/>
      <c r="H136" s="609"/>
      <c r="I136" s="609"/>
      <c r="J136" s="609"/>
      <c r="K136" s="609"/>
      <c r="L136" s="609"/>
      <c r="M136" s="609"/>
      <c r="N136" s="609"/>
    </row>
    <row r="137" spans="1:14">
      <c r="A137" s="649" t="s">
        <v>1164</v>
      </c>
      <c r="B137" s="417">
        <v>1.35</v>
      </c>
      <c r="C137" s="417">
        <v>5.5329999999999997E-2</v>
      </c>
      <c r="D137" s="417">
        <v>2.8873000000000002</v>
      </c>
      <c r="E137" s="417">
        <v>2.3064</v>
      </c>
      <c r="F137" s="166"/>
      <c r="G137" s="609"/>
      <c r="H137" s="609"/>
      <c r="I137" s="609"/>
      <c r="J137" s="609"/>
      <c r="K137" s="609"/>
      <c r="L137" s="609"/>
      <c r="M137" s="609"/>
      <c r="N137" s="609"/>
    </row>
    <row r="138" spans="1:14">
      <c r="A138" s="678" t="s">
        <v>1165</v>
      </c>
      <c r="B138" s="686">
        <v>0.92</v>
      </c>
      <c r="C138" s="686">
        <v>5.5329999999999997E-2</v>
      </c>
      <c r="D138" s="686">
        <v>2.8873000000000002</v>
      </c>
      <c r="E138" s="686">
        <v>2.3064</v>
      </c>
      <c r="F138" s="166"/>
      <c r="G138" s="609"/>
      <c r="H138" s="609"/>
      <c r="I138" s="609"/>
      <c r="J138" s="609"/>
      <c r="K138" s="609"/>
      <c r="L138" s="609"/>
      <c r="M138" s="609"/>
      <c r="N138" s="609"/>
    </row>
    <row r="140" spans="1:14">
      <c r="A140" s="422" t="s">
        <v>1166</v>
      </c>
      <c r="B140" s="422"/>
      <c r="C140" s="422"/>
      <c r="D140" s="422"/>
      <c r="E140" s="422"/>
      <c r="F140" s="166"/>
      <c r="G140" s="609"/>
      <c r="H140" s="609"/>
      <c r="I140" s="609"/>
      <c r="J140" s="609"/>
      <c r="K140" s="609"/>
      <c r="L140" s="609"/>
      <c r="M140" s="609"/>
      <c r="N140" s="609"/>
    </row>
    <row r="141" spans="1:14" ht="28.9">
      <c r="A141" s="643"/>
      <c r="B141" s="411" t="s">
        <v>1082</v>
      </c>
      <c r="C141" s="411" t="s">
        <v>1083</v>
      </c>
      <c r="D141" s="411" t="s">
        <v>1084</v>
      </c>
      <c r="E141" s="411" t="s">
        <v>1085</v>
      </c>
      <c r="F141" s="166"/>
      <c r="G141" s="609"/>
      <c r="H141" s="609"/>
      <c r="I141" s="609"/>
      <c r="J141" s="609"/>
      <c r="K141" s="609" t="s">
        <v>1082</v>
      </c>
      <c r="L141" s="609" t="s">
        <v>1083</v>
      </c>
      <c r="M141" s="609" t="s">
        <v>1084</v>
      </c>
      <c r="N141" s="609" t="s">
        <v>1085</v>
      </c>
    </row>
    <row r="142" spans="1:14">
      <c r="A142" s="685"/>
      <c r="B142" s="691" t="s">
        <v>1089</v>
      </c>
      <c r="C142" s="691" t="s">
        <v>1090</v>
      </c>
      <c r="D142" s="691" t="s">
        <v>1091</v>
      </c>
      <c r="E142" s="691" t="s">
        <v>1092</v>
      </c>
      <c r="F142" s="166"/>
      <c r="G142" s="609"/>
      <c r="H142" s="609"/>
      <c r="I142" s="609"/>
      <c r="J142" s="609"/>
      <c r="K142" s="609" t="s">
        <v>1089</v>
      </c>
      <c r="L142" s="609" t="s">
        <v>1090</v>
      </c>
      <c r="M142" s="609" t="s">
        <v>1091</v>
      </c>
      <c r="N142" s="609" t="s">
        <v>1092</v>
      </c>
    </row>
    <row r="143" spans="1:14">
      <c r="A143" s="659" t="s">
        <v>327</v>
      </c>
      <c r="B143" s="609" t="s">
        <v>1167</v>
      </c>
      <c r="C143" s="609" t="s">
        <v>1168</v>
      </c>
      <c r="D143" s="609" t="s">
        <v>1169</v>
      </c>
      <c r="E143" s="609" t="s">
        <v>1170</v>
      </c>
      <c r="F143" s="166"/>
      <c r="G143" s="609"/>
      <c r="H143" s="609"/>
      <c r="I143" s="609"/>
      <c r="J143" s="609" t="s">
        <v>327</v>
      </c>
      <c r="K143" s="609" t="s">
        <v>1167</v>
      </c>
      <c r="L143" s="609" t="s">
        <v>1168</v>
      </c>
      <c r="M143" s="609" t="s">
        <v>1169</v>
      </c>
      <c r="N143" s="609" t="s">
        <v>1170</v>
      </c>
    </row>
    <row r="144" spans="1:14">
      <c r="A144" s="649" t="s">
        <v>1101</v>
      </c>
      <c r="B144" s="417">
        <v>1.06</v>
      </c>
      <c r="C144" s="417">
        <v>6.6100000000000006E-2</v>
      </c>
      <c r="D144" s="417">
        <v>2.89</v>
      </c>
      <c r="E144" s="417">
        <v>2.41</v>
      </c>
      <c r="F144" s="166"/>
      <c r="G144" s="609">
        <f>tbl_SGE_Hotel_2008[[#This Row],[SGEe2008]]/3.6</f>
        <v>0.29444444444444445</v>
      </c>
      <c r="H144" s="609">
        <f>tbl_SGE_Hotel_2008[[#This Row],[SGEg2008]]</f>
        <v>6.6100000000000006E-2</v>
      </c>
      <c r="I144" s="609"/>
      <c r="J144" s="609" t="s">
        <v>1101</v>
      </c>
      <c r="K144" s="609">
        <v>1.06</v>
      </c>
      <c r="L144" s="609">
        <v>6.6100000000000006E-2</v>
      </c>
      <c r="M144" s="609">
        <v>2.89</v>
      </c>
      <c r="N144" s="609">
        <v>2.41</v>
      </c>
    </row>
    <row r="145" spans="1:14">
      <c r="A145" s="649" t="s">
        <v>1102</v>
      </c>
      <c r="B145" s="417">
        <v>1.06</v>
      </c>
      <c r="C145" s="417">
        <v>6.6100000000000006E-2</v>
      </c>
      <c r="D145" s="417">
        <v>2.89</v>
      </c>
      <c r="E145" s="417">
        <v>2.41</v>
      </c>
      <c r="F145" s="166"/>
      <c r="G145" s="609">
        <f>tbl_SGE_Hotel_2008[[#This Row],[SGEe2008]]/3.6</f>
        <v>0.29444444444444445</v>
      </c>
      <c r="H145" s="609">
        <f>tbl_SGE_Hotel_2008[[#This Row],[SGEg2008]]</f>
        <v>6.6100000000000006E-2</v>
      </c>
      <c r="I145" s="609"/>
      <c r="J145" s="609" t="s">
        <v>1102</v>
      </c>
      <c r="K145" s="609">
        <v>1.06</v>
      </c>
      <c r="L145" s="609">
        <v>6.6100000000000006E-2</v>
      </c>
      <c r="M145" s="609">
        <v>2.89</v>
      </c>
      <c r="N145" s="609">
        <v>2.41</v>
      </c>
    </row>
    <row r="146" spans="1:14">
      <c r="A146" s="649" t="s">
        <v>1160</v>
      </c>
      <c r="B146" s="417">
        <v>0.79</v>
      </c>
      <c r="C146" s="417">
        <v>5.7099999999999998E-2</v>
      </c>
      <c r="D146" s="417">
        <v>2.89</v>
      </c>
      <c r="E146" s="417">
        <v>2.41</v>
      </c>
      <c r="F146" s="166"/>
      <c r="G146" s="609">
        <f>tbl_SGE_Hotel_2008[[#This Row],[SGEe2008]]/3.6</f>
        <v>0.21944444444444444</v>
      </c>
      <c r="H146" s="609">
        <f>tbl_SGE_Hotel_2008[[#This Row],[SGEg2008]]</f>
        <v>5.7099999999999998E-2</v>
      </c>
      <c r="I146" s="609"/>
      <c r="J146" s="609" t="s">
        <v>1103</v>
      </c>
      <c r="K146" s="609">
        <v>0.79</v>
      </c>
      <c r="L146" s="609">
        <v>5.7099999999999998E-2</v>
      </c>
      <c r="M146" s="609">
        <v>2.89</v>
      </c>
      <c r="N146" s="609">
        <v>2.41</v>
      </c>
    </row>
    <row r="147" spans="1:14">
      <c r="A147" s="649" t="s">
        <v>1161</v>
      </c>
      <c r="B147" s="417">
        <v>1.04</v>
      </c>
      <c r="C147" s="417">
        <v>5.7299999999999997E-2</v>
      </c>
      <c r="D147" s="417">
        <v>2.89</v>
      </c>
      <c r="E147" s="417">
        <v>2.41</v>
      </c>
      <c r="F147" s="166"/>
      <c r="G147" s="609">
        <f>tbl_SGE_Hotel_2008[[#This Row],[SGEe2008]]/3.6</f>
        <v>0.28888888888888892</v>
      </c>
      <c r="H147" s="609">
        <f>tbl_SGE_Hotel_2008[[#This Row],[SGEg2008]]</f>
        <v>5.7299999999999997E-2</v>
      </c>
      <c r="I147" s="609"/>
      <c r="J147" s="609" t="s">
        <v>1104</v>
      </c>
      <c r="K147" s="609">
        <v>1.04</v>
      </c>
      <c r="L147" s="609">
        <v>5.7299999999999997E-2</v>
      </c>
      <c r="M147" s="609">
        <v>2.89</v>
      </c>
      <c r="N147" s="609">
        <v>2.41</v>
      </c>
    </row>
    <row r="148" spans="1:14">
      <c r="A148" s="649" t="s">
        <v>1162</v>
      </c>
      <c r="B148" s="417">
        <v>0.98</v>
      </c>
      <c r="C148" s="417">
        <v>7.0699999999999999E-2</v>
      </c>
      <c r="D148" s="417">
        <v>2.89</v>
      </c>
      <c r="E148" s="417">
        <v>2.41</v>
      </c>
      <c r="F148" s="166"/>
      <c r="G148" s="609">
        <f>tbl_SGE_Hotel_2008[[#This Row],[SGEe2008]]/3.6</f>
        <v>0.2722222222222222</v>
      </c>
      <c r="H148" s="609">
        <f>tbl_SGE_Hotel_2008[[#This Row],[SGEg2008]]</f>
        <v>7.0699999999999999E-2</v>
      </c>
      <c r="I148" s="609"/>
      <c r="J148" s="609" t="s">
        <v>1105</v>
      </c>
      <c r="K148" s="609">
        <v>0.98</v>
      </c>
      <c r="L148" s="609">
        <v>7.0699999999999999E-2</v>
      </c>
      <c r="M148" s="609">
        <v>2.89</v>
      </c>
      <c r="N148" s="609">
        <v>2.41</v>
      </c>
    </row>
    <row r="149" spans="1:14">
      <c r="A149" s="649" t="s">
        <v>1163</v>
      </c>
      <c r="B149" s="417">
        <v>1</v>
      </c>
      <c r="C149" s="417">
        <f>ROUND(0.75/3.6,8)</f>
        <v>0.20833333000000001</v>
      </c>
      <c r="D149" s="417">
        <v>8.0417000000000005</v>
      </c>
      <c r="E149" s="417">
        <v>4.2972000000000001</v>
      </c>
      <c r="F149" s="166"/>
      <c r="G149" s="609">
        <f>tbl_SGE_Hotel_2008[[#This Row],[SGEe2008]]/3.6</f>
        <v>0.27777777777777779</v>
      </c>
      <c r="H149" s="609">
        <f>tbl_SGE_Hotel_2008[[#This Row],[SGEg2008]]</f>
        <v>0.20833333000000001</v>
      </c>
      <c r="I149" s="609"/>
      <c r="J149" s="609" t="s">
        <v>1106</v>
      </c>
      <c r="K149" s="609">
        <v>1</v>
      </c>
      <c r="L149" s="609">
        <v>0.20830000000000001</v>
      </c>
      <c r="M149" s="609">
        <v>8.0417000000000005</v>
      </c>
      <c r="N149" s="609">
        <v>4.2972000000000001</v>
      </c>
    </row>
    <row r="150" spans="1:14">
      <c r="A150" s="649" t="s">
        <v>1164</v>
      </c>
      <c r="B150" s="417">
        <v>1.31</v>
      </c>
      <c r="C150" s="417">
        <v>5.7299999999999997E-2</v>
      </c>
      <c r="D150" s="417">
        <v>2.89</v>
      </c>
      <c r="E150" s="417">
        <v>2.41</v>
      </c>
      <c r="F150" s="166"/>
      <c r="G150" s="609">
        <f>tbl_SGE_Hotel_2008[[#This Row],[SGEe2008]]/3.6</f>
        <v>0.36388888888888887</v>
      </c>
      <c r="H150" s="609">
        <f>tbl_SGE_Hotel_2008[[#This Row],[SGEg2008]]</f>
        <v>5.7299999999999997E-2</v>
      </c>
      <c r="I150" s="609"/>
      <c r="J150" s="609" t="s">
        <v>1107</v>
      </c>
      <c r="K150" s="609">
        <v>1.31</v>
      </c>
      <c r="L150" s="609">
        <v>5.7299999999999997E-2</v>
      </c>
      <c r="M150" s="609">
        <v>2.89</v>
      </c>
      <c r="N150" s="609">
        <v>2.41</v>
      </c>
    </row>
    <row r="151" spans="1:14">
      <c r="A151" s="678" t="s">
        <v>1165</v>
      </c>
      <c r="B151" s="686">
        <v>0.98</v>
      </c>
      <c r="C151" s="686">
        <v>5.8900000000000001E-2</v>
      </c>
      <c r="D151" s="686">
        <v>2.89</v>
      </c>
      <c r="E151" s="686">
        <v>2.41</v>
      </c>
      <c r="F151" s="166"/>
      <c r="G151" s="609">
        <f>tbl_SGE_Hotel_2008[[#This Row],[SGEe2008]]/3.6</f>
        <v>0.2722222222222222</v>
      </c>
      <c r="H151" s="609">
        <f>tbl_SGE_Hotel_2008[[#This Row],[SGEg2008]]</f>
        <v>5.8900000000000001E-2</v>
      </c>
      <c r="I151" s="609"/>
      <c r="J151" s="609" t="s">
        <v>1108</v>
      </c>
      <c r="K151" s="609">
        <v>0.98</v>
      </c>
      <c r="L151" s="609">
        <v>5.8900000000000001E-2</v>
      </c>
      <c r="M151" s="609">
        <v>2.89</v>
      </c>
      <c r="N151" s="609">
        <v>2.41</v>
      </c>
    </row>
    <row r="152" spans="1:14">
      <c r="A152" s="409"/>
      <c r="B152" s="166"/>
      <c r="C152" s="166"/>
      <c r="D152" s="166"/>
      <c r="E152" s="166"/>
      <c r="F152" s="166"/>
      <c r="G152" s="609"/>
      <c r="H152" s="609"/>
      <c r="I152" s="609"/>
      <c r="J152" s="609"/>
      <c r="K152" s="609"/>
      <c r="L152" s="609"/>
      <c r="M152" s="609"/>
      <c r="N152" s="609"/>
    </row>
    <row r="155" spans="1:14">
      <c r="A155" s="609" t="s">
        <v>1171</v>
      </c>
      <c r="B155" s="609"/>
      <c r="C155" s="609"/>
      <c r="D155" s="609"/>
      <c r="E155" s="609"/>
      <c r="F155" s="609"/>
      <c r="G155" s="609"/>
      <c r="H155" s="609"/>
      <c r="I155" s="609"/>
      <c r="J155" s="609"/>
      <c r="K155" s="609"/>
      <c r="L155" s="609"/>
      <c r="M155" s="609"/>
      <c r="N155" s="609"/>
    </row>
    <row r="157" spans="1:14">
      <c r="A157" s="853" t="s">
        <v>1172</v>
      </c>
      <c r="B157" s="853"/>
      <c r="C157" s="853"/>
      <c r="D157" s="853"/>
      <c r="E157" s="853"/>
      <c r="F157" s="853"/>
      <c r="G157" s="853"/>
      <c r="H157" s="853"/>
      <c r="I157" s="853"/>
      <c r="J157" s="853"/>
      <c r="K157" s="853"/>
      <c r="L157" s="853"/>
      <c r="M157" s="853"/>
      <c r="N157" s="853"/>
    </row>
    <row r="158" spans="1:14">
      <c r="A158" s="853"/>
      <c r="B158" s="853"/>
      <c r="C158" s="853"/>
      <c r="D158" s="853"/>
      <c r="E158" s="853"/>
      <c r="F158" s="853"/>
      <c r="G158" s="853"/>
      <c r="H158" s="853"/>
      <c r="I158" s="853"/>
      <c r="J158" s="853"/>
      <c r="K158" s="853"/>
      <c r="L158" s="853"/>
      <c r="M158" s="853"/>
      <c r="N158" s="853"/>
    </row>
    <row r="159" spans="1:14">
      <c r="A159" s="409" t="s">
        <v>1173</v>
      </c>
      <c r="B159" s="166"/>
      <c r="C159" s="166"/>
      <c r="D159" s="166"/>
      <c r="E159" s="166"/>
      <c r="F159" s="166"/>
      <c r="G159" s="166"/>
      <c r="H159" s="166"/>
      <c r="I159" s="166"/>
      <c r="J159" s="166"/>
      <c r="K159" s="166"/>
      <c r="L159" s="166"/>
      <c r="M159" s="166"/>
      <c r="N159" s="166"/>
    </row>
    <row r="160" spans="1:14">
      <c r="A160" s="409"/>
      <c r="B160" s="166"/>
      <c r="C160" s="166"/>
      <c r="D160" s="166"/>
      <c r="E160" s="166"/>
      <c r="F160" s="166"/>
      <c r="G160" s="166"/>
      <c r="H160" s="166"/>
      <c r="I160" s="166"/>
      <c r="J160" s="166"/>
      <c r="K160" s="166"/>
      <c r="L160" s="166"/>
      <c r="M160" s="166"/>
      <c r="N160" s="166"/>
    </row>
    <row r="161" spans="1:14">
      <c r="A161" s="422" t="s">
        <v>1174</v>
      </c>
      <c r="B161" s="422"/>
      <c r="C161" s="422"/>
      <c r="D161" s="422"/>
      <c r="E161" s="422"/>
      <c r="F161" s="166"/>
      <c r="G161" s="166"/>
      <c r="H161" s="166"/>
      <c r="I161" s="166"/>
      <c r="J161" s="166"/>
      <c r="K161" s="166"/>
      <c r="L161" s="166"/>
      <c r="M161" s="166"/>
      <c r="N161" s="166"/>
    </row>
    <row r="162" spans="1:14">
      <c r="A162" s="439" t="s">
        <v>327</v>
      </c>
      <c r="B162" s="439" t="s">
        <v>321</v>
      </c>
      <c r="C162" s="439" t="s">
        <v>322</v>
      </c>
      <c r="D162" s="439" t="s">
        <v>1117</v>
      </c>
      <c r="E162" s="439" t="s">
        <v>1175</v>
      </c>
      <c r="F162" s="609"/>
      <c r="G162" s="609"/>
      <c r="H162" s="609"/>
      <c r="I162" s="609"/>
      <c r="J162" s="609"/>
      <c r="K162" s="166"/>
      <c r="L162" s="166"/>
      <c r="M162" s="166"/>
      <c r="N162" s="166"/>
    </row>
    <row r="163" spans="1:14">
      <c r="A163" s="417" t="s">
        <v>1101</v>
      </c>
      <c r="B163" s="417">
        <v>0.94</v>
      </c>
      <c r="C163" s="417">
        <v>0.23</v>
      </c>
      <c r="D163" s="417">
        <v>0.32</v>
      </c>
      <c r="E163" s="417">
        <v>0.27</v>
      </c>
      <c r="F163" s="609"/>
      <c r="G163" s="609"/>
      <c r="H163" s="609"/>
      <c r="I163" s="609"/>
      <c r="J163" s="609"/>
      <c r="K163" s="166"/>
      <c r="L163" s="166"/>
      <c r="M163" s="166"/>
      <c r="N163" s="166"/>
    </row>
    <row r="164" spans="1:14">
      <c r="A164" s="417" t="s">
        <v>1102</v>
      </c>
      <c r="B164" s="417">
        <v>0.94</v>
      </c>
      <c r="C164" s="417">
        <v>0.23</v>
      </c>
      <c r="D164" s="417">
        <v>0.32</v>
      </c>
      <c r="E164" s="417">
        <v>0.27</v>
      </c>
      <c r="F164" s="609"/>
      <c r="G164" s="609"/>
      <c r="H164" s="609"/>
      <c r="I164" s="609"/>
      <c r="J164" s="609"/>
      <c r="K164" s="166"/>
      <c r="L164" s="166"/>
      <c r="M164" s="166"/>
      <c r="N164" s="166"/>
    </row>
    <row r="165" spans="1:14">
      <c r="A165" s="417" t="s">
        <v>1103</v>
      </c>
      <c r="B165" s="417">
        <v>0.69</v>
      </c>
      <c r="C165" s="417">
        <v>0.2</v>
      </c>
      <c r="D165" s="417">
        <v>0.32</v>
      </c>
      <c r="E165" s="417">
        <v>0.27</v>
      </c>
      <c r="F165" s="609"/>
      <c r="G165" s="609"/>
      <c r="H165" s="609"/>
      <c r="I165" s="609"/>
      <c r="J165" s="609"/>
      <c r="K165" s="166"/>
      <c r="L165" s="166"/>
      <c r="M165" s="166"/>
      <c r="N165" s="166"/>
    </row>
    <row r="166" spans="1:14">
      <c r="A166" s="417" t="s">
        <v>1104</v>
      </c>
      <c r="B166" s="417">
        <v>1.02</v>
      </c>
      <c r="C166" s="417">
        <v>0.2</v>
      </c>
      <c r="D166" s="417">
        <v>0.32</v>
      </c>
      <c r="E166" s="417">
        <v>0.27</v>
      </c>
      <c r="F166" s="609"/>
      <c r="G166" s="609"/>
      <c r="H166" s="609"/>
      <c r="I166" s="609"/>
      <c r="J166" s="609"/>
      <c r="K166" s="166"/>
      <c r="L166" s="166"/>
      <c r="M166" s="166"/>
      <c r="N166" s="166"/>
    </row>
    <row r="167" spans="1:14">
      <c r="A167" s="417" t="s">
        <v>1105</v>
      </c>
      <c r="B167" s="417">
        <v>0.95</v>
      </c>
      <c r="C167" s="417">
        <v>0.21</v>
      </c>
      <c r="D167" s="417">
        <v>0.32</v>
      </c>
      <c r="E167" s="417">
        <v>0.27</v>
      </c>
      <c r="F167" s="609"/>
      <c r="G167" s="609"/>
      <c r="H167" s="609"/>
      <c r="I167" s="609"/>
      <c r="J167" s="609"/>
      <c r="K167" s="166"/>
      <c r="L167" s="166"/>
      <c r="M167" s="166"/>
      <c r="N167" s="166"/>
    </row>
    <row r="168" spans="1:14">
      <c r="A168" s="417" t="s">
        <v>1106</v>
      </c>
      <c r="B168" s="440">
        <v>1</v>
      </c>
      <c r="C168" s="440">
        <v>0.75</v>
      </c>
      <c r="D168" s="417">
        <v>0.7</v>
      </c>
      <c r="E168" s="417">
        <v>0.75</v>
      </c>
      <c r="F168" s="609"/>
      <c r="G168" s="609"/>
      <c r="H168" s="609"/>
      <c r="I168" s="609"/>
      <c r="J168" s="609"/>
      <c r="K168" s="166"/>
      <c r="L168" s="166"/>
      <c r="M168" s="166"/>
      <c r="N168" s="166"/>
    </row>
    <row r="169" spans="1:14">
      <c r="A169" s="417" t="s">
        <v>1107</v>
      </c>
      <c r="B169" s="417">
        <v>1.34</v>
      </c>
      <c r="C169" s="417">
        <v>0.21</v>
      </c>
      <c r="D169" s="417">
        <v>0.32</v>
      </c>
      <c r="E169" s="417">
        <v>0.27</v>
      </c>
      <c r="F169" s="609"/>
      <c r="G169" s="609"/>
      <c r="H169" s="609"/>
      <c r="I169" s="609"/>
      <c r="J169" s="609"/>
      <c r="K169" s="166"/>
      <c r="L169" s="166"/>
      <c r="M169" s="166"/>
      <c r="N169" s="166"/>
    </row>
    <row r="170" spans="1:14">
      <c r="A170" s="417" t="s">
        <v>1108</v>
      </c>
      <c r="B170" s="417">
        <v>0.92</v>
      </c>
      <c r="C170" s="417">
        <v>0.22</v>
      </c>
      <c r="D170" s="417">
        <v>0.32</v>
      </c>
      <c r="E170" s="417">
        <v>0.27</v>
      </c>
      <c r="F170" s="609"/>
      <c r="G170" s="609"/>
      <c r="H170" s="609"/>
      <c r="I170" s="609"/>
      <c r="J170" s="609"/>
      <c r="K170" s="166"/>
      <c r="L170" s="166"/>
      <c r="M170" s="166"/>
      <c r="N170" s="166"/>
    </row>
    <row r="174" spans="1:14">
      <c r="A174" s="277" t="s">
        <v>1176</v>
      </c>
      <c r="B174" s="278"/>
      <c r="C174" s="278"/>
      <c r="D174" s="421"/>
      <c r="E174" s="420"/>
      <c r="F174" s="278"/>
      <c r="G174" s="278"/>
      <c r="H174" s="278"/>
      <c r="I174" s="278"/>
      <c r="J174" s="609"/>
      <c r="K174" s="609"/>
      <c r="L174" s="609"/>
      <c r="M174" s="609"/>
      <c r="N174" s="609"/>
    </row>
    <row r="175" spans="1:14">
      <c r="A175" s="441" t="s">
        <v>1177</v>
      </c>
      <c r="B175" s="441"/>
      <c r="C175" s="441"/>
      <c r="D175" s="441"/>
      <c r="E175" s="441"/>
      <c r="F175" s="278"/>
      <c r="G175" s="278"/>
      <c r="H175" s="278"/>
      <c r="I175" s="278"/>
      <c r="J175" s="609"/>
      <c r="K175" s="609"/>
      <c r="L175" s="609"/>
      <c r="M175" s="609"/>
      <c r="N175" s="609"/>
    </row>
    <row r="176" spans="1:14">
      <c r="A176" s="442"/>
      <c r="B176" s="442" t="s">
        <v>1178</v>
      </c>
      <c r="C176" s="443"/>
      <c r="D176" s="444"/>
      <c r="E176" s="445"/>
      <c r="F176" s="443"/>
      <c r="G176" s="443"/>
      <c r="H176" s="443"/>
      <c r="I176" s="443"/>
      <c r="J176" s="609"/>
      <c r="K176" s="609"/>
      <c r="L176" s="609"/>
      <c r="M176" s="609"/>
      <c r="N176" s="609"/>
    </row>
    <row r="177" spans="1:11">
      <c r="A177" s="442" t="s">
        <v>327</v>
      </c>
      <c r="B177" s="443" t="s">
        <v>321</v>
      </c>
      <c r="C177" s="443" t="s">
        <v>322</v>
      </c>
      <c r="D177" s="444" t="s">
        <v>1179</v>
      </c>
      <c r="E177" s="445" t="s">
        <v>1180</v>
      </c>
      <c r="F177" s="443" t="s">
        <v>1181</v>
      </c>
      <c r="G177" s="443" t="s">
        <v>1182</v>
      </c>
      <c r="H177" s="443"/>
      <c r="I177" s="443" t="s">
        <v>1183</v>
      </c>
      <c r="J177" s="609"/>
      <c r="K177" s="609"/>
    </row>
    <row r="178" spans="1:11">
      <c r="A178" s="442" t="s">
        <v>1101</v>
      </c>
      <c r="B178" s="443">
        <v>0.9</v>
      </c>
      <c r="C178" s="443">
        <v>0.23266800000000004</v>
      </c>
      <c r="D178" s="444">
        <v>1</v>
      </c>
      <c r="E178" s="445">
        <v>1</v>
      </c>
      <c r="F178" s="443">
        <v>0.23111999999999999</v>
      </c>
      <c r="G178" s="443">
        <v>0.26567999999999997</v>
      </c>
      <c r="H178" s="443"/>
      <c r="I178" s="443">
        <f t="shared" ref="I178:I185" si="9">F178/3.6*25.7</f>
        <v>1.6499399999999997</v>
      </c>
      <c r="J178" s="609"/>
      <c r="K178" s="609"/>
    </row>
    <row r="179" spans="1:11">
      <c r="A179" s="442" t="s">
        <v>1102</v>
      </c>
      <c r="B179" s="443">
        <v>0.9</v>
      </c>
      <c r="C179" s="443">
        <v>0.23266800000000004</v>
      </c>
      <c r="D179" s="444">
        <v>1</v>
      </c>
      <c r="E179" s="445">
        <v>1</v>
      </c>
      <c r="F179" s="443">
        <v>0.23111999999999999</v>
      </c>
      <c r="G179" s="443">
        <v>0.26567999999999997</v>
      </c>
      <c r="H179" s="443"/>
      <c r="I179" s="443">
        <f t="shared" si="9"/>
        <v>1.6499399999999997</v>
      </c>
      <c r="J179" s="609"/>
      <c r="K179" s="609"/>
    </row>
    <row r="180" spans="1:11">
      <c r="A180" s="442" t="s">
        <v>1103</v>
      </c>
      <c r="B180" s="443">
        <v>0.69</v>
      </c>
      <c r="C180" s="443">
        <v>0.18550800000000001</v>
      </c>
      <c r="D180" s="444">
        <v>0.76666666666666661</v>
      </c>
      <c r="E180" s="445">
        <v>0.79730775181804103</v>
      </c>
      <c r="F180" s="443">
        <v>0.23111999999999999</v>
      </c>
      <c r="G180" s="443">
        <v>0.26567999999999997</v>
      </c>
      <c r="H180" s="443"/>
      <c r="I180" s="443">
        <f t="shared" si="9"/>
        <v>1.6499399999999997</v>
      </c>
      <c r="J180" s="609"/>
      <c r="K180" s="609"/>
    </row>
    <row r="181" spans="1:11">
      <c r="A181" s="442" t="s">
        <v>1104</v>
      </c>
      <c r="B181" s="443">
        <v>0.93</v>
      </c>
      <c r="C181" s="443">
        <v>0.21718800000000002</v>
      </c>
      <c r="D181" s="444">
        <v>1.0333333333333334</v>
      </c>
      <c r="E181" s="445">
        <v>0.93346742998607446</v>
      </c>
      <c r="F181" s="443">
        <v>0.23111999999999999</v>
      </c>
      <c r="G181" s="443">
        <v>0.26567999999999997</v>
      </c>
      <c r="H181" s="443"/>
      <c r="I181" s="443">
        <f t="shared" si="9"/>
        <v>1.6499399999999997</v>
      </c>
      <c r="J181" s="609"/>
      <c r="K181" s="609"/>
    </row>
    <row r="182" spans="1:11">
      <c r="A182" s="442" t="s">
        <v>1105</v>
      </c>
      <c r="B182" s="443">
        <v>0.52</v>
      </c>
      <c r="C182" s="443">
        <v>0.224028</v>
      </c>
      <c r="D182" s="444">
        <v>0.57777777777777783</v>
      </c>
      <c r="E182" s="445">
        <v>0.96286554231780896</v>
      </c>
      <c r="F182" s="443">
        <v>0.23111999999999999</v>
      </c>
      <c r="G182" s="443">
        <v>0.26567999999999997</v>
      </c>
      <c r="H182" s="443"/>
      <c r="I182" s="443">
        <f t="shared" si="9"/>
        <v>1.6499399999999997</v>
      </c>
      <c r="J182" s="609"/>
      <c r="K182" s="609"/>
    </row>
    <row r="183" spans="1:11">
      <c r="A183" s="442" t="s">
        <v>1106</v>
      </c>
      <c r="B183" s="443">
        <v>1</v>
      </c>
      <c r="C183" s="443">
        <v>0.7498800000000001</v>
      </c>
      <c r="D183" s="444">
        <v>1.1111111111111112</v>
      </c>
      <c r="E183" s="445">
        <v>3.2229614730001548</v>
      </c>
      <c r="F183" s="443">
        <v>0.23111999999999999</v>
      </c>
      <c r="G183" s="443">
        <v>0.26567999999999997</v>
      </c>
      <c r="H183" s="443"/>
      <c r="I183" s="443">
        <f t="shared" si="9"/>
        <v>1.6499399999999997</v>
      </c>
      <c r="J183" s="609"/>
      <c r="K183" s="609"/>
    </row>
    <row r="184" spans="1:11">
      <c r="A184" s="442" t="s">
        <v>1107</v>
      </c>
      <c r="B184" s="443">
        <v>1.0900000000000001</v>
      </c>
      <c r="C184" s="443">
        <v>0.199908</v>
      </c>
      <c r="D184" s="444">
        <v>1.2111111111111112</v>
      </c>
      <c r="E184" s="445">
        <v>0.85919851462169261</v>
      </c>
      <c r="F184" s="443">
        <v>0.23111999999999999</v>
      </c>
      <c r="G184" s="443">
        <v>0.26567999999999997</v>
      </c>
      <c r="H184" s="443"/>
      <c r="I184" s="443">
        <f t="shared" si="9"/>
        <v>1.6499399999999997</v>
      </c>
      <c r="J184" s="609"/>
      <c r="K184" s="609"/>
    </row>
    <row r="185" spans="1:11">
      <c r="A185" s="443" t="s">
        <v>1108</v>
      </c>
      <c r="B185" s="443">
        <v>0.7</v>
      </c>
      <c r="C185" s="443">
        <v>0.200268</v>
      </c>
      <c r="D185" s="443">
        <v>0.77777777777777768</v>
      </c>
      <c r="E185" s="443">
        <v>0.86074578369178389</v>
      </c>
      <c r="F185" s="443">
        <v>0.23111999999999999</v>
      </c>
      <c r="G185" s="443">
        <v>0.26567999999999997</v>
      </c>
      <c r="H185" s="443"/>
      <c r="I185" s="443">
        <f t="shared" si="9"/>
        <v>1.6499399999999997</v>
      </c>
      <c r="J185" s="609"/>
      <c r="K185" s="609"/>
    </row>
    <row r="186" spans="1:11">
      <c r="A186" s="278"/>
      <c r="B186" s="278"/>
      <c r="C186" s="278"/>
      <c r="D186" s="446"/>
      <c r="E186" s="446"/>
      <c r="F186" s="278"/>
      <c r="G186" s="278"/>
      <c r="H186" s="278"/>
      <c r="I186" s="278"/>
      <c r="J186" s="609"/>
      <c r="K186" s="609"/>
    </row>
    <row r="188" spans="1:11">
      <c r="A188" s="614" t="s">
        <v>1184</v>
      </c>
      <c r="B188" s="614"/>
      <c r="C188" s="614"/>
      <c r="D188" s="614"/>
      <c r="E188" s="614"/>
      <c r="F188" s="614"/>
      <c r="G188" s="613" t="s">
        <v>1185</v>
      </c>
      <c r="H188" s="613"/>
      <c r="I188" s="613"/>
      <c r="J188" s="613"/>
      <c r="K188" s="609"/>
    </row>
    <row r="189" spans="1:11">
      <c r="A189" s="609"/>
      <c r="B189" s="612" t="s">
        <v>321</v>
      </c>
      <c r="C189" s="612" t="s">
        <v>322</v>
      </c>
      <c r="D189" s="612" t="s">
        <v>1117</v>
      </c>
      <c r="E189" s="612" t="s">
        <v>323</v>
      </c>
      <c r="F189" s="612" t="s">
        <v>851</v>
      </c>
      <c r="G189" s="612" t="s">
        <v>1186</v>
      </c>
      <c r="H189" s="612" t="s">
        <v>322</v>
      </c>
      <c r="I189" s="612" t="s">
        <v>851</v>
      </c>
      <c r="J189" s="612" t="s">
        <v>1187</v>
      </c>
      <c r="K189" s="612" t="s">
        <v>1188</v>
      </c>
    </row>
    <row r="190" spans="1:11">
      <c r="A190" s="611"/>
      <c r="B190" s="610" t="s">
        <v>1089</v>
      </c>
      <c r="C190" s="610" t="s">
        <v>1090</v>
      </c>
      <c r="D190" s="610" t="s">
        <v>1092</v>
      </c>
      <c r="E190" s="610" t="s">
        <v>1091</v>
      </c>
      <c r="F190" s="610" t="s">
        <v>1090</v>
      </c>
      <c r="G190" s="606"/>
      <c r="H190" s="606"/>
      <c r="I190" s="606"/>
      <c r="J190" s="606"/>
      <c r="K190" s="606"/>
    </row>
    <row r="191" spans="1:11">
      <c r="A191" s="660" t="s">
        <v>327</v>
      </c>
      <c r="B191" s="609" t="s">
        <v>1094</v>
      </c>
      <c r="C191" s="609" t="s">
        <v>1095</v>
      </c>
      <c r="D191" s="609" t="s">
        <v>1097</v>
      </c>
      <c r="E191" s="609" t="s">
        <v>1096</v>
      </c>
      <c r="F191" s="609" t="s">
        <v>1098</v>
      </c>
      <c r="G191" s="609" t="s">
        <v>1189</v>
      </c>
      <c r="H191" s="609" t="s">
        <v>1190</v>
      </c>
      <c r="I191" s="609" t="s">
        <v>1191</v>
      </c>
      <c r="J191" s="609" t="s">
        <v>1192</v>
      </c>
      <c r="K191" s="609" t="s">
        <v>1193</v>
      </c>
    </row>
    <row r="192" spans="1:11">
      <c r="A192" s="661" t="s">
        <v>1102</v>
      </c>
      <c r="B192" s="606">
        <v>0.86</v>
      </c>
      <c r="C192" s="606">
        <v>6.4630000000000007E-2</v>
      </c>
      <c r="D192" s="607">
        <v>2.5174799999999999</v>
      </c>
      <c r="E192" s="606">
        <v>2.8486799999999999</v>
      </c>
      <c r="F192" s="606">
        <f>tbl_SGE_Warehouse_2022[[#This Row],[SGEg]]</f>
        <v>6.4630000000000007E-2</v>
      </c>
      <c r="G192" s="606">
        <f t="shared" ref="G192:H199" si="10">B192/B$192</f>
        <v>1</v>
      </c>
      <c r="H192" s="606">
        <f t="shared" si="10"/>
        <v>1</v>
      </c>
      <c r="I192" s="606">
        <f>tbl_SGE_Warehouse_2022[[#This Row],[SGEg wrt NSW]]</f>
        <v>1</v>
      </c>
      <c r="J192" s="606">
        <f t="shared" ref="J192:K199" si="11">D192/D$192</f>
        <v>1</v>
      </c>
      <c r="K192" s="606">
        <f t="shared" si="11"/>
        <v>1</v>
      </c>
    </row>
    <row r="193" spans="1:11">
      <c r="A193" s="661" t="s">
        <v>1101</v>
      </c>
      <c r="B193" s="606">
        <v>0.86</v>
      </c>
      <c r="C193" s="606">
        <v>6.4630000000000007E-2</v>
      </c>
      <c r="D193" s="607">
        <v>2.5174799999999999</v>
      </c>
      <c r="E193" s="606">
        <v>2.8486799999999999</v>
      </c>
      <c r="F193" s="606">
        <f>tbl_SGE_Warehouse_2022[[#This Row],[SGEg]]</f>
        <v>6.4630000000000007E-2</v>
      </c>
      <c r="G193" s="606">
        <f t="shared" si="10"/>
        <v>1</v>
      </c>
      <c r="H193" s="606">
        <f t="shared" si="10"/>
        <v>1</v>
      </c>
      <c r="I193" s="606">
        <f>tbl_SGE_Warehouse_2022[[#This Row],[SGEg wrt NSW]]</f>
        <v>1</v>
      </c>
      <c r="J193" s="606">
        <f t="shared" si="11"/>
        <v>1</v>
      </c>
      <c r="K193" s="606">
        <f t="shared" si="11"/>
        <v>1</v>
      </c>
    </row>
    <row r="194" spans="1:11">
      <c r="A194" s="661" t="s">
        <v>1103</v>
      </c>
      <c r="B194" s="606">
        <v>0.61</v>
      </c>
      <c r="C194" s="606">
        <v>5.1529999999999999E-2</v>
      </c>
      <c r="D194" s="607">
        <v>2.5174799999999999</v>
      </c>
      <c r="E194" s="606">
        <v>2.8486799999999999</v>
      </c>
      <c r="F194" s="606">
        <f>tbl_SGE_Warehouse_2022[[#This Row],[SGEg]]</f>
        <v>5.1529999999999999E-2</v>
      </c>
      <c r="G194" s="606">
        <f t="shared" si="10"/>
        <v>0.70930232558139539</v>
      </c>
      <c r="H194" s="606">
        <f t="shared" si="10"/>
        <v>0.79730775181804103</v>
      </c>
      <c r="I194" s="606">
        <f>tbl_SGE_Warehouse_2022[[#This Row],[SGEg wrt NSW]]</f>
        <v>0.79730775181804103</v>
      </c>
      <c r="J194" s="606">
        <f t="shared" si="11"/>
        <v>1</v>
      </c>
      <c r="K194" s="606">
        <f t="shared" si="11"/>
        <v>1</v>
      </c>
    </row>
    <row r="195" spans="1:11">
      <c r="A195" s="661" t="s">
        <v>1104</v>
      </c>
      <c r="B195" s="606">
        <v>0.92</v>
      </c>
      <c r="C195" s="606">
        <v>6.0330000000000002E-2</v>
      </c>
      <c r="D195" s="607">
        <v>2.5174799999999999</v>
      </c>
      <c r="E195" s="606">
        <v>2.8486799999999999</v>
      </c>
      <c r="F195" s="606">
        <f>tbl_SGE_Warehouse_2022[[#This Row],[SGEg]]</f>
        <v>6.0330000000000002E-2</v>
      </c>
      <c r="G195" s="606">
        <f t="shared" si="10"/>
        <v>1.0697674418604652</v>
      </c>
      <c r="H195" s="606">
        <f t="shared" si="10"/>
        <v>0.93346742998607446</v>
      </c>
      <c r="I195" s="606">
        <f>tbl_SGE_Warehouse_2022[[#This Row],[SGEg wrt NSW]]</f>
        <v>0.93346742998607446</v>
      </c>
      <c r="J195" s="606">
        <f t="shared" si="11"/>
        <v>1</v>
      </c>
      <c r="K195" s="606">
        <f t="shared" si="11"/>
        <v>1</v>
      </c>
    </row>
    <row r="196" spans="1:11">
      <c r="A196" s="661" t="s">
        <v>1105</v>
      </c>
      <c r="B196" s="606">
        <v>0.42</v>
      </c>
      <c r="C196" s="606">
        <v>6.2230000000000001E-2</v>
      </c>
      <c r="D196" s="607">
        <v>2.5174799999999999</v>
      </c>
      <c r="E196" s="606">
        <v>2.8486799999999999</v>
      </c>
      <c r="F196" s="606">
        <f>tbl_SGE_Warehouse_2022[[#This Row],[SGEg]]</f>
        <v>6.2230000000000001E-2</v>
      </c>
      <c r="G196" s="606">
        <f t="shared" si="10"/>
        <v>0.48837209302325579</v>
      </c>
      <c r="H196" s="606">
        <f t="shared" si="10"/>
        <v>0.96286554231780896</v>
      </c>
      <c r="I196" s="606">
        <f>tbl_SGE_Warehouse_2022[[#This Row],[SGEg wrt NSW]]</f>
        <v>0.96286554231780896</v>
      </c>
      <c r="J196" s="606">
        <f t="shared" si="11"/>
        <v>1</v>
      </c>
      <c r="K196" s="606">
        <f t="shared" si="11"/>
        <v>1</v>
      </c>
    </row>
    <row r="197" spans="1:11">
      <c r="A197" s="661" t="s">
        <v>1106</v>
      </c>
      <c r="B197" s="606">
        <v>1</v>
      </c>
      <c r="C197" s="608">
        <v>5.1529999999999999E-2</v>
      </c>
      <c r="D197" s="607">
        <v>2.5174799999999999</v>
      </c>
      <c r="E197" s="606">
        <v>2.8486799999999999</v>
      </c>
      <c r="F197" s="606">
        <f>tbl_SGE_Warehouse_2022[[#This Row],[SGEg]]</f>
        <v>5.1529999999999999E-2</v>
      </c>
      <c r="G197" s="606">
        <f t="shared" si="10"/>
        <v>1.1627906976744187</v>
      </c>
      <c r="H197" s="606">
        <f t="shared" si="10"/>
        <v>0.79730775181804103</v>
      </c>
      <c r="I197" s="606">
        <f>tbl_SGE_Warehouse_2022[[#This Row],[SGEg wrt NSW]]</f>
        <v>0.79730775181804103</v>
      </c>
      <c r="J197" s="606">
        <f t="shared" si="11"/>
        <v>1</v>
      </c>
      <c r="K197" s="606">
        <f t="shared" si="11"/>
        <v>1</v>
      </c>
    </row>
    <row r="198" spans="1:11">
      <c r="A198" s="661" t="s">
        <v>1107</v>
      </c>
      <c r="B198" s="606">
        <v>1.06</v>
      </c>
      <c r="C198" s="606">
        <v>5.5530000000000003E-2</v>
      </c>
      <c r="D198" s="607">
        <v>2.5174799999999999</v>
      </c>
      <c r="E198" s="606">
        <v>2.8486799999999999</v>
      </c>
      <c r="F198" s="606">
        <f>tbl_SGE_Warehouse_2022[[#This Row],[SGEg]]</f>
        <v>5.5530000000000003E-2</v>
      </c>
      <c r="G198" s="606">
        <f t="shared" si="10"/>
        <v>1.2325581395348839</v>
      </c>
      <c r="H198" s="606">
        <f t="shared" si="10"/>
        <v>0.85919851462169272</v>
      </c>
      <c r="I198" s="606">
        <f>tbl_SGE_Warehouse_2022[[#This Row],[SGEg wrt NSW]]</f>
        <v>0.85919851462169272</v>
      </c>
      <c r="J198" s="606">
        <f t="shared" si="11"/>
        <v>1</v>
      </c>
      <c r="K198" s="606">
        <f t="shared" si="11"/>
        <v>1</v>
      </c>
    </row>
    <row r="199" spans="1:11">
      <c r="A199" s="692" t="s">
        <v>1108</v>
      </c>
      <c r="B199" s="693">
        <v>0.69</v>
      </c>
      <c r="C199" s="693">
        <v>5.5629999999999999E-2</v>
      </c>
      <c r="D199" s="694">
        <v>2.5174799999999999</v>
      </c>
      <c r="E199" s="693">
        <v>2.8486799999999999</v>
      </c>
      <c r="F199" s="606">
        <f>tbl_SGE_Warehouse_2022[[#This Row],[SGEg]]</f>
        <v>5.5629999999999999E-2</v>
      </c>
      <c r="G199" s="606">
        <f t="shared" si="10"/>
        <v>0.80232558139534882</v>
      </c>
      <c r="H199" s="606">
        <f t="shared" si="10"/>
        <v>0.86074578369178389</v>
      </c>
      <c r="I199" s="606">
        <f>tbl_SGE_Warehouse_2022[[#This Row],[SGEg wrt NSW]]</f>
        <v>0.86074578369178389</v>
      </c>
      <c r="J199" s="606">
        <f t="shared" si="11"/>
        <v>1</v>
      </c>
      <c r="K199" s="606">
        <f t="shared" si="11"/>
        <v>1</v>
      </c>
    </row>
    <row r="204" spans="1:11">
      <c r="A204" s="614" t="s">
        <v>1194</v>
      </c>
      <c r="B204" s="614"/>
      <c r="C204" s="614"/>
      <c r="D204" s="614"/>
      <c r="E204" s="614"/>
      <c r="F204" s="614"/>
      <c r="G204" s="613" t="s">
        <v>1185</v>
      </c>
      <c r="H204" s="613"/>
      <c r="I204"/>
      <c r="J204"/>
      <c r="K204" s="609"/>
    </row>
    <row r="205" spans="1:11" ht="40.15">
      <c r="A205" s="777" t="s">
        <v>327</v>
      </c>
      <c r="B205" s="778" t="s">
        <v>897</v>
      </c>
      <c r="C205" s="778" t="s">
        <v>898</v>
      </c>
      <c r="D205" s="778" t="s">
        <v>899</v>
      </c>
      <c r="E205" s="778" t="s">
        <v>900</v>
      </c>
      <c r="F205" s="778" t="s">
        <v>901</v>
      </c>
      <c r="G205" s="779" t="s">
        <v>1195</v>
      </c>
      <c r="H205" s="779" t="s">
        <v>1196</v>
      </c>
      <c r="I205" s="609"/>
      <c r="J205" s="609"/>
      <c r="K205" s="609"/>
    </row>
    <row r="206" spans="1:11">
      <c r="A206" s="781" t="s">
        <v>1101</v>
      </c>
      <c r="B206" s="607">
        <v>0.79</v>
      </c>
      <c r="C206" s="607">
        <v>6.4630000000000007E-2</v>
      </c>
      <c r="D206" s="607">
        <v>8.0799999999999997E-2</v>
      </c>
      <c r="E206" s="607">
        <v>3.3774999999999999</v>
      </c>
      <c r="F206" s="607">
        <v>2.0765600000000002</v>
      </c>
      <c r="G206" s="607">
        <f>B206/$B$206</f>
        <v>1</v>
      </c>
      <c r="H206" s="782">
        <f t="shared" ref="H206:H213" si="12">C206/$C$206</f>
        <v>1</v>
      </c>
      <c r="I206" s="609"/>
      <c r="J206" s="609"/>
      <c r="K206" s="609"/>
    </row>
    <row r="207" spans="1:11">
      <c r="A207" s="781" t="s">
        <v>1102</v>
      </c>
      <c r="B207" s="607">
        <v>0.79</v>
      </c>
      <c r="C207" s="607">
        <v>6.4630000000000007E-2</v>
      </c>
      <c r="D207" s="607">
        <v>8.0799999999999997E-2</v>
      </c>
      <c r="E207" s="607">
        <v>3.3774999999999999</v>
      </c>
      <c r="F207" s="607">
        <v>2.0765600000000002</v>
      </c>
      <c r="G207" s="607">
        <f t="shared" ref="G207:G213" si="13">B207/$B$206</f>
        <v>1</v>
      </c>
      <c r="H207" s="782">
        <f t="shared" si="12"/>
        <v>1</v>
      </c>
      <c r="I207" s="609"/>
      <c r="J207" s="609"/>
      <c r="K207" s="609"/>
    </row>
    <row r="208" spans="1:11">
      <c r="A208" s="781" t="s">
        <v>1103</v>
      </c>
      <c r="B208" s="607">
        <v>0.61</v>
      </c>
      <c r="C208" s="607">
        <v>5.1529999999999999E-2</v>
      </c>
      <c r="D208" s="607">
        <v>8.0799999999999997E-2</v>
      </c>
      <c r="E208" s="607">
        <v>3.3774999999999999</v>
      </c>
      <c r="F208" s="607">
        <v>2.0765600000000002</v>
      </c>
      <c r="G208" s="607">
        <f t="shared" si="13"/>
        <v>0.77215189873417711</v>
      </c>
      <c r="H208" s="782">
        <f t="shared" si="12"/>
        <v>0.79730775181804103</v>
      </c>
      <c r="I208" s="609"/>
      <c r="J208" s="609"/>
      <c r="K208" s="609"/>
    </row>
    <row r="209" spans="1:8">
      <c r="A209" s="781" t="s">
        <v>1104</v>
      </c>
      <c r="B209" s="607">
        <v>0.88</v>
      </c>
      <c r="C209" s="607">
        <v>6.0330000000000002E-2</v>
      </c>
      <c r="D209" s="607">
        <v>8.0799999999999997E-2</v>
      </c>
      <c r="E209" s="607">
        <v>3.3774999999999999</v>
      </c>
      <c r="F209" s="607">
        <v>2.0765600000000002</v>
      </c>
      <c r="G209" s="607">
        <f t="shared" si="13"/>
        <v>1.1139240506329113</v>
      </c>
      <c r="H209" s="782">
        <f t="shared" si="12"/>
        <v>0.93346742998607446</v>
      </c>
    </row>
    <row r="210" spans="1:8">
      <c r="A210" s="781" t="s">
        <v>1105</v>
      </c>
      <c r="B210" s="607">
        <v>0.33</v>
      </c>
      <c r="C210" s="607">
        <v>6.2230000000000001E-2</v>
      </c>
      <c r="D210" s="607">
        <v>8.0799999999999997E-2</v>
      </c>
      <c r="E210" s="607">
        <v>3.3774999999999999</v>
      </c>
      <c r="F210" s="607">
        <v>2.0765600000000002</v>
      </c>
      <c r="G210" s="607">
        <f t="shared" si="13"/>
        <v>0.41772151898734178</v>
      </c>
      <c r="H210" s="782">
        <f t="shared" si="12"/>
        <v>0.96286554231780896</v>
      </c>
    </row>
    <row r="211" spans="1:8">
      <c r="A211" s="781" t="s">
        <v>1106</v>
      </c>
      <c r="B211" s="780">
        <v>0.18</v>
      </c>
      <c r="C211" s="780">
        <v>5.1529999999999999E-2</v>
      </c>
      <c r="D211" s="780">
        <v>8.0799999999999997E-2</v>
      </c>
      <c r="E211" s="607">
        <v>3.3774999999999999</v>
      </c>
      <c r="F211" s="607">
        <v>2.0765600000000002</v>
      </c>
      <c r="G211" s="607">
        <f t="shared" si="13"/>
        <v>0.22784810126582278</v>
      </c>
      <c r="H211" s="782">
        <f t="shared" si="12"/>
        <v>0.79730775181804103</v>
      </c>
    </row>
    <row r="212" spans="1:8">
      <c r="A212" s="781" t="s">
        <v>1107</v>
      </c>
      <c r="B212" s="607">
        <v>0.92</v>
      </c>
      <c r="C212" s="607">
        <v>5.5530000000000003E-2</v>
      </c>
      <c r="D212" s="607">
        <v>8.0799999999999997E-2</v>
      </c>
      <c r="E212" s="607">
        <v>3.3774999999999999</v>
      </c>
      <c r="F212" s="607">
        <v>2.0765600000000002</v>
      </c>
      <c r="G212" s="607">
        <f t="shared" si="13"/>
        <v>1.1645569620253164</v>
      </c>
      <c r="H212" s="782">
        <f t="shared" si="12"/>
        <v>0.85919851462169272</v>
      </c>
    </row>
    <row r="213" spans="1:8">
      <c r="A213" s="783" t="s">
        <v>1108</v>
      </c>
      <c r="B213" s="694">
        <v>0.55000000000000004</v>
      </c>
      <c r="C213" s="694">
        <v>5.5629999999999999E-2</v>
      </c>
      <c r="D213" s="694">
        <v>8.0799999999999997E-2</v>
      </c>
      <c r="E213" s="607">
        <v>3.3774999999999999</v>
      </c>
      <c r="F213" s="694">
        <v>2.0765600000000002</v>
      </c>
      <c r="G213" s="694">
        <f t="shared" si="13"/>
        <v>0.69620253164556967</v>
      </c>
      <c r="H213" s="784">
        <f t="shared" si="12"/>
        <v>0.86074578369178389</v>
      </c>
    </row>
  </sheetData>
  <sortState xmlns:xlrd2="http://schemas.microsoft.com/office/spreadsheetml/2017/richdata2" ref="H98:L105">
    <sortCondition ref="H98:H105"/>
  </sortState>
  <mergeCells count="3">
    <mergeCell ref="A157:N158"/>
    <mergeCell ref="A18:E18"/>
    <mergeCell ref="A2:E2"/>
  </mergeCells>
  <phoneticPr fontId="15" type="noConversion"/>
  <pageMargins left="0.7" right="0.7" top="0.75" bottom="0.75" header="0.3" footer="0.3"/>
  <legacyDrawing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F108B-0A1D-4D32-BED3-53D7BFF859D7}">
  <sheetPr codeName="Sheet4">
    <tabColor rgb="FFFFC000"/>
  </sheetPr>
  <dimension ref="A1:R3730"/>
  <sheetViews>
    <sheetView topLeftCell="A3698" workbookViewId="0">
      <selection activeCell="G21" sqref="G21"/>
    </sheetView>
  </sheetViews>
  <sheetFormatPr defaultColWidth="9.28515625" defaultRowHeight="13.9"/>
  <cols>
    <col min="1" max="1" width="10.28515625" style="166" customWidth="1"/>
    <col min="2" max="2" width="14" style="166" customWidth="1"/>
    <col min="3" max="3" width="9.28515625" style="166"/>
    <col min="4" max="9" width="9.28515625" style="168"/>
    <col min="10" max="10" width="41" style="168" bestFit="1" customWidth="1"/>
    <col min="11" max="16" width="9.28515625" style="168"/>
    <col min="17" max="17" width="21.28515625" style="168" bestFit="1" customWidth="1"/>
    <col min="18" max="16384" width="9.28515625" style="168"/>
  </cols>
  <sheetData>
    <row r="1" spans="1:18">
      <c r="A1" s="165" t="s">
        <v>1197</v>
      </c>
      <c r="I1" s="165" t="s">
        <v>1198</v>
      </c>
    </row>
    <row r="3" spans="1:18">
      <c r="A3" s="403" t="s">
        <v>316</v>
      </c>
      <c r="B3" s="403" t="s">
        <v>328</v>
      </c>
      <c r="C3" s="166" t="s">
        <v>124</v>
      </c>
      <c r="D3" s="166" t="s">
        <v>125</v>
      </c>
      <c r="E3" s="166" t="s">
        <v>895</v>
      </c>
      <c r="F3" s="166" t="s">
        <v>896</v>
      </c>
      <c r="I3" s="404" t="s">
        <v>1199</v>
      </c>
      <c r="J3" s="404" t="s">
        <v>1200</v>
      </c>
      <c r="K3" s="404" t="s">
        <v>1201</v>
      </c>
      <c r="L3" s="404" t="s">
        <v>1202</v>
      </c>
      <c r="M3" s="404" t="s">
        <v>1203</v>
      </c>
      <c r="N3" s="404" t="s">
        <v>896</v>
      </c>
      <c r="P3" s="404" t="s">
        <v>1201</v>
      </c>
      <c r="Q3" s="404" t="s">
        <v>1200</v>
      </c>
      <c r="R3" s="404" t="s">
        <v>1204</v>
      </c>
    </row>
    <row r="4" spans="1:18">
      <c r="A4" s="403">
        <v>200</v>
      </c>
      <c r="B4" s="403">
        <v>64</v>
      </c>
      <c r="C4" s="166">
        <v>2186</v>
      </c>
      <c r="D4" s="166">
        <v>80</v>
      </c>
      <c r="E4" s="166" t="s">
        <v>1205</v>
      </c>
      <c r="F4" s="166">
        <v>999.79774011299048</v>
      </c>
      <c r="I4" s="404">
        <v>1</v>
      </c>
      <c r="J4" s="404" t="s">
        <v>1206</v>
      </c>
      <c r="K4" s="404">
        <v>1</v>
      </c>
      <c r="L4" s="404">
        <v>6</v>
      </c>
      <c r="M4" s="404">
        <v>2016</v>
      </c>
      <c r="N4" s="404">
        <v>2352.9332374928122</v>
      </c>
      <c r="P4" s="404">
        <v>1</v>
      </c>
      <c r="Q4" s="404" t="s">
        <v>1207</v>
      </c>
      <c r="R4" s="404" t="s">
        <v>1108</v>
      </c>
    </row>
    <row r="5" spans="1:18">
      <c r="A5" s="403">
        <v>211</v>
      </c>
      <c r="B5" s="403">
        <v>64</v>
      </c>
      <c r="C5" s="166">
        <v>2186</v>
      </c>
      <c r="D5" s="166">
        <v>80</v>
      </c>
      <c r="E5" s="166" t="s">
        <v>1205</v>
      </c>
      <c r="F5" s="166">
        <v>999.79774011299048</v>
      </c>
      <c r="I5" s="404">
        <v>2</v>
      </c>
      <c r="J5" s="404" t="s">
        <v>1208</v>
      </c>
      <c r="K5" s="404">
        <v>1</v>
      </c>
      <c r="L5" s="404">
        <v>27</v>
      </c>
      <c r="M5" s="404">
        <v>1782</v>
      </c>
      <c r="N5" s="404">
        <v>3003.0973913043467</v>
      </c>
      <c r="P5" s="404">
        <v>2</v>
      </c>
      <c r="Q5" s="404" t="s">
        <v>1209</v>
      </c>
      <c r="R5" s="404" t="s">
        <v>1107</v>
      </c>
    </row>
    <row r="6" spans="1:18">
      <c r="A6" s="403">
        <v>212</v>
      </c>
      <c r="B6" s="403">
        <v>64</v>
      </c>
      <c r="C6" s="166">
        <v>2186</v>
      </c>
      <c r="D6" s="166">
        <v>80</v>
      </c>
      <c r="E6" s="166" t="s">
        <v>1205</v>
      </c>
      <c r="F6" s="166">
        <v>999.79774011299048</v>
      </c>
      <c r="I6" s="404">
        <v>3</v>
      </c>
      <c r="J6" s="404" t="s">
        <v>1210</v>
      </c>
      <c r="K6" s="404">
        <v>1</v>
      </c>
      <c r="L6" s="404">
        <v>159</v>
      </c>
      <c r="M6" s="404">
        <v>1001</v>
      </c>
      <c r="N6" s="404">
        <v>3237.6278086956504</v>
      </c>
      <c r="P6" s="404">
        <v>3</v>
      </c>
      <c r="Q6" s="404" t="s">
        <v>1211</v>
      </c>
      <c r="R6" s="404" t="s">
        <v>1106</v>
      </c>
    </row>
    <row r="7" spans="1:18">
      <c r="A7" s="403">
        <v>221</v>
      </c>
      <c r="B7" s="403">
        <v>64</v>
      </c>
      <c r="C7" s="166">
        <v>2186</v>
      </c>
      <c r="D7" s="166">
        <v>80</v>
      </c>
      <c r="E7" s="166" t="s">
        <v>1205</v>
      </c>
      <c r="F7" s="166">
        <v>999.79774011299048</v>
      </c>
      <c r="I7" s="404">
        <v>4</v>
      </c>
      <c r="J7" s="404" t="s">
        <v>1212</v>
      </c>
      <c r="K7" s="404">
        <v>1</v>
      </c>
      <c r="L7" s="404">
        <v>312</v>
      </c>
      <c r="M7" s="404">
        <v>770</v>
      </c>
      <c r="N7" s="404"/>
      <c r="P7" s="404">
        <v>4</v>
      </c>
      <c r="Q7" s="404" t="s">
        <v>1213</v>
      </c>
      <c r="R7" s="404" t="s">
        <v>1105</v>
      </c>
    </row>
    <row r="8" spans="1:18">
      <c r="A8" s="403">
        <v>230</v>
      </c>
      <c r="B8" s="403">
        <v>64</v>
      </c>
      <c r="C8" s="166">
        <v>2186</v>
      </c>
      <c r="D8" s="166">
        <v>80</v>
      </c>
      <c r="E8" s="166" t="s">
        <v>1205</v>
      </c>
      <c r="F8" s="166">
        <v>999.79774011299048</v>
      </c>
      <c r="I8" s="404">
        <v>5</v>
      </c>
      <c r="J8" s="404" t="s">
        <v>1214</v>
      </c>
      <c r="K8" s="404">
        <v>1</v>
      </c>
      <c r="L8" s="404">
        <v>446</v>
      </c>
      <c r="M8" s="404">
        <v>553</v>
      </c>
      <c r="N8" s="404">
        <v>2070.2584656084673</v>
      </c>
      <c r="P8" s="404">
        <v>5</v>
      </c>
      <c r="Q8" s="404" t="s">
        <v>1215</v>
      </c>
      <c r="R8" s="404" t="s">
        <v>1104</v>
      </c>
    </row>
    <row r="9" spans="1:18">
      <c r="A9" s="403">
        <v>237</v>
      </c>
      <c r="B9" s="403">
        <v>64</v>
      </c>
      <c r="C9" s="166">
        <v>2186</v>
      </c>
      <c r="D9" s="166">
        <v>80</v>
      </c>
      <c r="E9" s="166" t="s">
        <v>1205</v>
      </c>
      <c r="F9" s="166">
        <v>999.79774011299048</v>
      </c>
      <c r="I9" s="404">
        <v>6</v>
      </c>
      <c r="J9" s="404" t="s">
        <v>1216</v>
      </c>
      <c r="K9" s="404">
        <v>1</v>
      </c>
      <c r="L9" s="404">
        <v>939</v>
      </c>
      <c r="M9" s="404">
        <v>327</v>
      </c>
      <c r="N9" s="404">
        <v>1721.4764123611774</v>
      </c>
      <c r="P9" s="404">
        <v>6</v>
      </c>
      <c r="Q9" s="404" t="s">
        <v>1217</v>
      </c>
      <c r="R9" s="404" t="s">
        <v>1102</v>
      </c>
    </row>
    <row r="10" spans="1:18">
      <c r="A10" s="403">
        <v>238</v>
      </c>
      <c r="B10" s="403">
        <v>64</v>
      </c>
      <c r="C10" s="166">
        <v>2186</v>
      </c>
      <c r="D10" s="166">
        <v>80</v>
      </c>
      <c r="E10" s="166" t="s">
        <v>1205</v>
      </c>
      <c r="F10" s="166">
        <v>999.79774011299048</v>
      </c>
      <c r="I10" s="404">
        <v>7</v>
      </c>
      <c r="J10" s="404" t="s">
        <v>1218</v>
      </c>
      <c r="K10" s="404">
        <v>1</v>
      </c>
      <c r="L10" s="404">
        <v>680</v>
      </c>
      <c r="M10" s="404">
        <v>340</v>
      </c>
      <c r="N10" s="404">
        <v>1648.3206367924527</v>
      </c>
      <c r="P10" s="404">
        <v>7</v>
      </c>
      <c r="Q10" s="404" t="s">
        <v>1219</v>
      </c>
      <c r="R10" s="404" t="s">
        <v>1101</v>
      </c>
    </row>
    <row r="11" spans="1:18">
      <c r="A11" s="403">
        <v>239</v>
      </c>
      <c r="B11" s="403">
        <v>64</v>
      </c>
      <c r="C11" s="166">
        <v>2186</v>
      </c>
      <c r="D11" s="166">
        <v>80</v>
      </c>
      <c r="E11" s="166" t="s">
        <v>1205</v>
      </c>
      <c r="F11" s="166">
        <v>999.79774011299048</v>
      </c>
      <c r="I11" s="404">
        <v>8</v>
      </c>
      <c r="J11" s="404" t="s">
        <v>1220</v>
      </c>
      <c r="K11" s="404">
        <v>1</v>
      </c>
      <c r="L11" s="404">
        <v>1249</v>
      </c>
      <c r="M11" s="404">
        <v>185</v>
      </c>
      <c r="N11" s="404">
        <v>1062.2944658944652</v>
      </c>
      <c r="P11" s="404">
        <v>8</v>
      </c>
      <c r="Q11" s="404" t="s">
        <v>1221</v>
      </c>
      <c r="R11" s="404" t="s">
        <v>1103</v>
      </c>
    </row>
    <row r="12" spans="1:18">
      <c r="A12" s="403">
        <v>240</v>
      </c>
      <c r="B12" s="403">
        <v>64</v>
      </c>
      <c r="C12" s="166">
        <v>2186</v>
      </c>
      <c r="D12" s="166">
        <v>80</v>
      </c>
      <c r="E12" s="166" t="s">
        <v>1205</v>
      </c>
      <c r="F12" s="166">
        <v>999.79774011299048</v>
      </c>
      <c r="I12" s="404">
        <v>9</v>
      </c>
      <c r="J12" s="404" t="s">
        <v>1222</v>
      </c>
      <c r="K12" s="404">
        <v>1</v>
      </c>
      <c r="L12" s="404">
        <v>1048</v>
      </c>
      <c r="M12" s="404">
        <v>274</v>
      </c>
      <c r="N12" s="404">
        <v>1094.7502314814797</v>
      </c>
    </row>
    <row r="13" spans="1:18">
      <c r="A13" s="403">
        <v>241</v>
      </c>
      <c r="B13" s="403">
        <v>64</v>
      </c>
      <c r="C13" s="166">
        <v>2186</v>
      </c>
      <c r="D13" s="166">
        <v>80</v>
      </c>
      <c r="E13" s="166" t="s">
        <v>1205</v>
      </c>
      <c r="F13" s="166">
        <v>999.79774011299048</v>
      </c>
      <c r="I13" s="404">
        <v>10</v>
      </c>
      <c r="J13" s="404" t="s">
        <v>1223</v>
      </c>
      <c r="K13" s="404">
        <v>1</v>
      </c>
      <c r="L13" s="404">
        <v>1112</v>
      </c>
      <c r="M13" s="404">
        <v>132</v>
      </c>
      <c r="N13" s="404">
        <v>460.33338554486534</v>
      </c>
    </row>
    <row r="14" spans="1:18">
      <c r="A14" s="403">
        <v>242</v>
      </c>
      <c r="B14" s="403">
        <v>64</v>
      </c>
      <c r="C14" s="166">
        <v>2186</v>
      </c>
      <c r="D14" s="166">
        <v>80</v>
      </c>
      <c r="E14" s="166" t="s">
        <v>1205</v>
      </c>
      <c r="F14" s="166">
        <v>999.79774011299048</v>
      </c>
      <c r="I14" s="404">
        <v>11</v>
      </c>
      <c r="J14" s="404" t="s">
        <v>1224</v>
      </c>
      <c r="K14" s="404">
        <v>1</v>
      </c>
      <c r="L14" s="404">
        <v>899</v>
      </c>
      <c r="M14" s="404">
        <v>243</v>
      </c>
      <c r="N14" s="404">
        <v>2374.3539736346506</v>
      </c>
    </row>
    <row r="15" spans="1:18">
      <c r="A15" s="403">
        <v>243</v>
      </c>
      <c r="B15" s="403">
        <v>64</v>
      </c>
      <c r="C15" s="166">
        <v>2186</v>
      </c>
      <c r="D15" s="166">
        <v>80</v>
      </c>
      <c r="E15" s="166" t="s">
        <v>1205</v>
      </c>
      <c r="F15" s="166">
        <v>999.79774011299048</v>
      </c>
      <c r="I15" s="404">
        <v>12</v>
      </c>
      <c r="J15" s="404" t="s">
        <v>1225</v>
      </c>
      <c r="K15" s="404">
        <v>1</v>
      </c>
      <c r="L15" s="404">
        <v>768</v>
      </c>
      <c r="M15" s="404">
        <v>360</v>
      </c>
      <c r="N15" s="404"/>
    </row>
    <row r="16" spans="1:18">
      <c r="A16" s="403">
        <v>244</v>
      </c>
      <c r="B16" s="403">
        <v>64</v>
      </c>
      <c r="C16" s="166">
        <v>2186</v>
      </c>
      <c r="D16" s="166">
        <v>80</v>
      </c>
      <c r="E16" s="166" t="s">
        <v>1205</v>
      </c>
      <c r="F16" s="166">
        <v>999.79774011299048</v>
      </c>
      <c r="I16" s="404">
        <v>13</v>
      </c>
      <c r="J16" s="404" t="s">
        <v>1226</v>
      </c>
      <c r="K16" s="404">
        <v>2</v>
      </c>
      <c r="L16" s="404">
        <v>1160</v>
      </c>
      <c r="M16" s="404">
        <v>201</v>
      </c>
      <c r="N16" s="404">
        <v>1872.3395833333334</v>
      </c>
    </row>
    <row r="17" spans="1:14">
      <c r="A17" s="403">
        <v>245</v>
      </c>
      <c r="B17" s="403">
        <v>64</v>
      </c>
      <c r="C17" s="166">
        <v>2186</v>
      </c>
      <c r="D17" s="166">
        <v>80</v>
      </c>
      <c r="E17" s="166" t="s">
        <v>1205</v>
      </c>
      <c r="F17" s="166">
        <v>999.79774011299048</v>
      </c>
      <c r="I17" s="404">
        <v>14</v>
      </c>
      <c r="J17" s="404" t="s">
        <v>1227</v>
      </c>
      <c r="K17" s="404">
        <v>2</v>
      </c>
      <c r="L17" s="404">
        <v>1610</v>
      </c>
      <c r="M17" s="404">
        <v>120</v>
      </c>
      <c r="N17" s="404">
        <v>1003.2349311575726</v>
      </c>
    </row>
    <row r="18" spans="1:14">
      <c r="A18" s="403">
        <v>246</v>
      </c>
      <c r="B18" s="403">
        <v>64</v>
      </c>
      <c r="C18" s="166">
        <v>2186</v>
      </c>
      <c r="D18" s="166">
        <v>80</v>
      </c>
      <c r="E18" s="166" t="s">
        <v>1205</v>
      </c>
      <c r="F18" s="166">
        <v>999.79774011299048</v>
      </c>
      <c r="I18" s="404">
        <v>15</v>
      </c>
      <c r="J18" s="404" t="s">
        <v>1228</v>
      </c>
      <c r="K18" s="404">
        <v>2</v>
      </c>
      <c r="L18" s="404">
        <v>2049</v>
      </c>
      <c r="M18" s="404">
        <v>104</v>
      </c>
      <c r="N18" s="404">
        <v>739.46081739782858</v>
      </c>
    </row>
    <row r="19" spans="1:14">
      <c r="A19" s="403">
        <v>247</v>
      </c>
      <c r="B19" s="403">
        <v>64</v>
      </c>
      <c r="C19" s="166">
        <v>2186</v>
      </c>
      <c r="D19" s="166">
        <v>80</v>
      </c>
      <c r="E19" s="166" t="s">
        <v>1205</v>
      </c>
      <c r="F19" s="166">
        <v>999.79774011299048</v>
      </c>
      <c r="I19" s="404">
        <v>16</v>
      </c>
      <c r="J19" s="404" t="s">
        <v>1229</v>
      </c>
      <c r="K19" s="404">
        <v>2</v>
      </c>
      <c r="L19" s="404">
        <v>1595</v>
      </c>
      <c r="M19" s="404">
        <v>248</v>
      </c>
      <c r="N19" s="404">
        <v>1117.5294847775194</v>
      </c>
    </row>
    <row r="20" spans="1:14">
      <c r="A20" s="403">
        <v>248</v>
      </c>
      <c r="B20" s="403">
        <v>64</v>
      </c>
      <c r="C20" s="166">
        <v>2186</v>
      </c>
      <c r="D20" s="166">
        <v>80</v>
      </c>
      <c r="E20" s="166" t="s">
        <v>1205</v>
      </c>
      <c r="F20" s="166">
        <v>999.79774011299048</v>
      </c>
      <c r="I20" s="404">
        <v>17</v>
      </c>
      <c r="J20" s="404" t="s">
        <v>1230</v>
      </c>
      <c r="K20" s="404">
        <v>2</v>
      </c>
      <c r="L20" s="404">
        <v>1846</v>
      </c>
      <c r="M20" s="404">
        <v>145</v>
      </c>
      <c r="N20" s="404">
        <v>179.06961105052642</v>
      </c>
    </row>
    <row r="21" spans="1:14">
      <c r="A21" s="403">
        <v>249</v>
      </c>
      <c r="B21" s="403">
        <v>64</v>
      </c>
      <c r="C21" s="166">
        <v>2186</v>
      </c>
      <c r="D21" s="166">
        <v>80</v>
      </c>
      <c r="E21" s="166" t="s">
        <v>1205</v>
      </c>
      <c r="F21" s="166">
        <v>999.79774011299048</v>
      </c>
      <c r="I21" s="404">
        <v>18</v>
      </c>
      <c r="J21" s="404" t="s">
        <v>1231</v>
      </c>
      <c r="K21" s="404">
        <v>2</v>
      </c>
      <c r="L21" s="404">
        <v>1590</v>
      </c>
      <c r="M21" s="404">
        <v>100</v>
      </c>
      <c r="N21" s="404">
        <v>769.37262842144253</v>
      </c>
    </row>
    <row r="22" spans="1:14">
      <c r="A22" s="403">
        <v>250</v>
      </c>
      <c r="B22" s="403">
        <v>64</v>
      </c>
      <c r="C22" s="166">
        <v>2186</v>
      </c>
      <c r="D22" s="166">
        <v>80</v>
      </c>
      <c r="E22" s="166" t="s">
        <v>1205</v>
      </c>
      <c r="F22" s="166">
        <v>999.79774011299048</v>
      </c>
      <c r="I22" s="404">
        <v>19</v>
      </c>
      <c r="J22" s="404" t="s">
        <v>1232</v>
      </c>
      <c r="K22" s="404">
        <v>2</v>
      </c>
      <c r="L22" s="404">
        <v>2031</v>
      </c>
      <c r="M22" s="404">
        <v>194</v>
      </c>
      <c r="N22" s="404">
        <v>171.27055803571511</v>
      </c>
    </row>
    <row r="23" spans="1:14">
      <c r="A23" s="403">
        <v>251</v>
      </c>
      <c r="B23" s="403">
        <v>64</v>
      </c>
      <c r="C23" s="166">
        <v>2186</v>
      </c>
      <c r="D23" s="166">
        <v>80</v>
      </c>
      <c r="E23" s="166" t="s">
        <v>1205</v>
      </c>
      <c r="F23" s="166">
        <v>999.79774011299048</v>
      </c>
      <c r="I23" s="404">
        <v>20</v>
      </c>
      <c r="J23" s="404" t="s">
        <v>1233</v>
      </c>
      <c r="K23" s="404">
        <v>2</v>
      </c>
      <c r="L23" s="404">
        <v>2021</v>
      </c>
      <c r="M23" s="404">
        <v>136</v>
      </c>
      <c r="N23" s="404">
        <v>298.50401401720501</v>
      </c>
    </row>
    <row r="24" spans="1:14">
      <c r="A24" s="403">
        <v>252</v>
      </c>
      <c r="B24" s="403">
        <v>64</v>
      </c>
      <c r="C24" s="166">
        <v>2186</v>
      </c>
      <c r="D24" s="166">
        <v>80</v>
      </c>
      <c r="E24" s="166" t="s">
        <v>1205</v>
      </c>
      <c r="F24" s="166">
        <v>999.79774011299048</v>
      </c>
      <c r="I24" s="404">
        <v>21</v>
      </c>
      <c r="J24" s="404" t="s">
        <v>1234</v>
      </c>
      <c r="K24" s="404">
        <v>2</v>
      </c>
      <c r="L24" s="404">
        <v>1569</v>
      </c>
      <c r="M24" s="404">
        <v>180</v>
      </c>
      <c r="N24" s="404">
        <v>508.34535799304206</v>
      </c>
    </row>
    <row r="25" spans="1:14">
      <c r="A25" s="403">
        <v>253</v>
      </c>
      <c r="B25" s="403">
        <v>64</v>
      </c>
      <c r="C25" s="166">
        <v>2186</v>
      </c>
      <c r="D25" s="166">
        <v>80</v>
      </c>
      <c r="E25" s="166" t="s">
        <v>1205</v>
      </c>
      <c r="F25" s="166">
        <v>999.79774011299048</v>
      </c>
      <c r="I25" s="404">
        <v>22</v>
      </c>
      <c r="J25" s="404" t="s">
        <v>1235</v>
      </c>
      <c r="K25" s="404">
        <v>3</v>
      </c>
      <c r="L25" s="404">
        <v>1997</v>
      </c>
      <c r="M25" s="404">
        <v>52</v>
      </c>
      <c r="N25" s="404">
        <v>659.84554263565929</v>
      </c>
    </row>
    <row r="26" spans="1:14">
      <c r="A26" s="403">
        <v>254</v>
      </c>
      <c r="B26" s="403">
        <v>64</v>
      </c>
      <c r="C26" s="166">
        <v>2186</v>
      </c>
      <c r="D26" s="166">
        <v>80</v>
      </c>
      <c r="E26" s="166" t="s">
        <v>1205</v>
      </c>
      <c r="F26" s="166">
        <v>999.79774011299048</v>
      </c>
      <c r="I26" s="404">
        <v>23</v>
      </c>
      <c r="J26" s="404" t="s">
        <v>1236</v>
      </c>
      <c r="K26" s="404">
        <v>3</v>
      </c>
      <c r="L26" s="404">
        <v>2516</v>
      </c>
      <c r="M26" s="404">
        <v>48</v>
      </c>
      <c r="N26" s="404">
        <v>359.92992125984256</v>
      </c>
    </row>
    <row r="27" spans="1:14">
      <c r="A27" s="403">
        <v>255</v>
      </c>
      <c r="B27" s="403">
        <v>64</v>
      </c>
      <c r="C27" s="166">
        <v>2186</v>
      </c>
      <c r="D27" s="166">
        <v>80</v>
      </c>
      <c r="E27" s="166" t="s">
        <v>1205</v>
      </c>
      <c r="F27" s="166">
        <v>999.79774011299048</v>
      </c>
      <c r="I27" s="404">
        <v>24</v>
      </c>
      <c r="J27" s="404" t="s">
        <v>1237</v>
      </c>
      <c r="K27" s="404">
        <v>3</v>
      </c>
      <c r="L27" s="404">
        <v>3056</v>
      </c>
      <c r="M27" s="404">
        <v>34</v>
      </c>
      <c r="N27" s="404" t="e">
        <v>#N/A</v>
      </c>
    </row>
    <row r="28" spans="1:14">
      <c r="A28" s="403">
        <v>256</v>
      </c>
      <c r="B28" s="403">
        <v>64</v>
      </c>
      <c r="C28" s="166">
        <v>2186</v>
      </c>
      <c r="D28" s="166">
        <v>80</v>
      </c>
      <c r="E28" s="166" t="s">
        <v>1205</v>
      </c>
      <c r="F28" s="166">
        <v>999.79774011299048</v>
      </c>
      <c r="I28" s="404">
        <v>25</v>
      </c>
      <c r="J28" s="404" t="s">
        <v>1238</v>
      </c>
      <c r="K28" s="404">
        <v>3</v>
      </c>
      <c r="L28" s="404">
        <v>2421</v>
      </c>
      <c r="M28" s="404">
        <v>25</v>
      </c>
      <c r="N28" s="404">
        <v>657.92700000000173</v>
      </c>
    </row>
    <row r="29" spans="1:14">
      <c r="A29" s="403">
        <v>257</v>
      </c>
      <c r="B29" s="403">
        <v>64</v>
      </c>
      <c r="C29" s="166">
        <v>2186</v>
      </c>
      <c r="D29" s="166">
        <v>80</v>
      </c>
      <c r="E29" s="166" t="s">
        <v>1205</v>
      </c>
      <c r="F29" s="166">
        <v>999.79774011299048</v>
      </c>
      <c r="I29" s="404">
        <v>26</v>
      </c>
      <c r="J29" s="404" t="s">
        <v>1239</v>
      </c>
      <c r="K29" s="404">
        <v>3</v>
      </c>
      <c r="L29" s="404">
        <v>2049</v>
      </c>
      <c r="M29" s="404">
        <v>29</v>
      </c>
      <c r="N29" s="404">
        <v>359.92992125984131</v>
      </c>
    </row>
    <row r="30" spans="1:14">
      <c r="A30" s="403">
        <v>258</v>
      </c>
      <c r="B30" s="403">
        <v>64</v>
      </c>
      <c r="C30" s="166">
        <v>2186</v>
      </c>
      <c r="D30" s="166">
        <v>80</v>
      </c>
      <c r="E30" s="166" t="s">
        <v>1205</v>
      </c>
      <c r="F30" s="166">
        <v>999.79774011299048</v>
      </c>
      <c r="I30" s="404">
        <v>27</v>
      </c>
      <c r="J30" s="404" t="s">
        <v>1240</v>
      </c>
      <c r="K30" s="404">
        <v>3</v>
      </c>
      <c r="L30" s="404">
        <v>1903</v>
      </c>
      <c r="M30" s="404">
        <v>137</v>
      </c>
      <c r="N30" s="404">
        <v>657.92699999999991</v>
      </c>
    </row>
    <row r="31" spans="1:14">
      <c r="A31" s="403">
        <v>259</v>
      </c>
      <c r="B31" s="403">
        <v>64</v>
      </c>
      <c r="C31" s="166">
        <v>2186</v>
      </c>
      <c r="D31" s="166">
        <v>80</v>
      </c>
      <c r="E31" s="166" t="s">
        <v>1205</v>
      </c>
      <c r="F31" s="166">
        <v>999.79774011299048</v>
      </c>
      <c r="I31" s="404">
        <v>28</v>
      </c>
      <c r="J31" s="404" t="s">
        <v>1241</v>
      </c>
      <c r="K31" s="404">
        <v>3</v>
      </c>
      <c r="L31" s="404">
        <v>1869</v>
      </c>
      <c r="M31" s="404">
        <v>80</v>
      </c>
      <c r="N31" s="404">
        <v>659.84554263565917</v>
      </c>
    </row>
    <row r="32" spans="1:14">
      <c r="A32" s="403">
        <v>260</v>
      </c>
      <c r="B32" s="403">
        <v>64</v>
      </c>
      <c r="C32" s="166">
        <v>2186</v>
      </c>
      <c r="D32" s="166">
        <v>80</v>
      </c>
      <c r="E32" s="166" t="s">
        <v>1205</v>
      </c>
      <c r="F32" s="166">
        <v>999.79774011299048</v>
      </c>
      <c r="I32" s="404">
        <v>29</v>
      </c>
      <c r="J32" s="404" t="s">
        <v>1242</v>
      </c>
      <c r="K32" s="404">
        <v>4</v>
      </c>
      <c r="L32" s="404">
        <v>963</v>
      </c>
      <c r="M32" s="404">
        <v>229</v>
      </c>
      <c r="N32" s="404">
        <v>2038.6921495327094</v>
      </c>
    </row>
    <row r="33" spans="1:14">
      <c r="A33" s="403">
        <v>261</v>
      </c>
      <c r="B33" s="403">
        <v>64</v>
      </c>
      <c r="C33" s="166">
        <v>2186</v>
      </c>
      <c r="D33" s="166">
        <v>80</v>
      </c>
      <c r="E33" s="166" t="s">
        <v>1205</v>
      </c>
      <c r="F33" s="166">
        <v>999.79774011299048</v>
      </c>
      <c r="I33" s="404">
        <v>30</v>
      </c>
      <c r="J33" s="404" t="s">
        <v>1243</v>
      </c>
      <c r="K33" s="404">
        <v>4</v>
      </c>
      <c r="L33" s="404">
        <v>615</v>
      </c>
      <c r="M33" s="404">
        <v>286</v>
      </c>
      <c r="N33" s="404">
        <v>3067.1387430047348</v>
      </c>
    </row>
    <row r="34" spans="1:14">
      <c r="A34" s="403">
        <v>262</v>
      </c>
      <c r="B34" s="403">
        <v>64</v>
      </c>
      <c r="C34" s="166">
        <v>2186</v>
      </c>
      <c r="D34" s="166">
        <v>80</v>
      </c>
      <c r="E34" s="166" t="s">
        <v>1205</v>
      </c>
      <c r="F34" s="166">
        <v>999.79774011299048</v>
      </c>
      <c r="I34" s="404">
        <v>31</v>
      </c>
      <c r="J34" s="404" t="s">
        <v>1244</v>
      </c>
      <c r="K34" s="404">
        <v>4</v>
      </c>
      <c r="L34" s="404">
        <v>746</v>
      </c>
      <c r="M34" s="404">
        <v>340</v>
      </c>
      <c r="N34" s="404">
        <v>3056.5480716452403</v>
      </c>
    </row>
    <row r="35" spans="1:14">
      <c r="A35" s="403">
        <v>263</v>
      </c>
      <c r="B35" s="403">
        <v>64</v>
      </c>
      <c r="C35" s="166">
        <v>2186</v>
      </c>
      <c r="D35" s="166">
        <v>80</v>
      </c>
      <c r="E35" s="166" t="s">
        <v>1205</v>
      </c>
      <c r="F35" s="166">
        <v>999.79774011299048</v>
      </c>
      <c r="I35" s="404">
        <v>32</v>
      </c>
      <c r="J35" s="404" t="s">
        <v>1245</v>
      </c>
      <c r="K35" s="404">
        <v>4</v>
      </c>
      <c r="L35" s="404">
        <v>954</v>
      </c>
      <c r="M35" s="404">
        <v>354</v>
      </c>
      <c r="N35" s="404">
        <v>1416.3980952380937</v>
      </c>
    </row>
    <row r="36" spans="1:14">
      <c r="A36" s="403">
        <v>264</v>
      </c>
      <c r="B36" s="403">
        <v>64</v>
      </c>
      <c r="C36" s="166">
        <v>2186</v>
      </c>
      <c r="D36" s="166">
        <v>80</v>
      </c>
      <c r="E36" s="166" t="s">
        <v>1205</v>
      </c>
      <c r="F36" s="166">
        <v>999.79774011299048</v>
      </c>
      <c r="I36" s="404">
        <v>33</v>
      </c>
      <c r="J36" s="404" t="s">
        <v>1231</v>
      </c>
      <c r="K36" s="404">
        <v>4</v>
      </c>
      <c r="L36" s="404">
        <v>1554</v>
      </c>
      <c r="M36" s="404">
        <v>132</v>
      </c>
      <c r="N36" s="404">
        <v>824.92361111111165</v>
      </c>
    </row>
    <row r="37" spans="1:14">
      <c r="A37" s="403">
        <v>266</v>
      </c>
      <c r="B37" s="403">
        <v>64</v>
      </c>
      <c r="C37" s="166">
        <v>2186</v>
      </c>
      <c r="D37" s="166">
        <v>80</v>
      </c>
      <c r="E37" s="166" t="s">
        <v>1205</v>
      </c>
      <c r="F37" s="166">
        <v>999.79774011299048</v>
      </c>
      <c r="I37" s="404">
        <v>34</v>
      </c>
      <c r="J37" s="404" t="s">
        <v>1246</v>
      </c>
      <c r="K37" s="404">
        <v>4</v>
      </c>
      <c r="L37" s="404">
        <v>1258</v>
      </c>
      <c r="M37" s="404">
        <v>173</v>
      </c>
      <c r="N37" s="404">
        <v>1467.5582142857133</v>
      </c>
    </row>
    <row r="38" spans="1:14">
      <c r="A38" s="403">
        <v>267</v>
      </c>
      <c r="B38" s="403">
        <v>64</v>
      </c>
      <c r="C38" s="166">
        <v>2186</v>
      </c>
      <c r="D38" s="166">
        <v>80</v>
      </c>
      <c r="E38" s="166" t="s">
        <v>1205</v>
      </c>
      <c r="F38" s="166">
        <v>999.79774011299048</v>
      </c>
      <c r="I38" s="404">
        <v>35</v>
      </c>
      <c r="J38" s="404" t="s">
        <v>1247</v>
      </c>
      <c r="K38" s="404">
        <v>4</v>
      </c>
      <c r="L38" s="404">
        <v>1813</v>
      </c>
      <c r="M38" s="404">
        <v>61</v>
      </c>
      <c r="N38" s="404">
        <v>673.46954781912689</v>
      </c>
    </row>
    <row r="39" spans="1:14">
      <c r="A39" s="403">
        <v>268</v>
      </c>
      <c r="B39" s="403">
        <v>64</v>
      </c>
      <c r="C39" s="166">
        <v>2186</v>
      </c>
      <c r="D39" s="166">
        <v>80</v>
      </c>
      <c r="E39" s="166" t="s">
        <v>1205</v>
      </c>
      <c r="F39" s="166">
        <v>999.79774011299048</v>
      </c>
      <c r="I39" s="404">
        <v>36</v>
      </c>
      <c r="J39" s="404" t="s">
        <v>1248</v>
      </c>
      <c r="K39" s="404">
        <v>5</v>
      </c>
      <c r="L39" s="404">
        <v>0</v>
      </c>
      <c r="M39" s="404">
        <v>2835</v>
      </c>
      <c r="N39" s="404">
        <v>1397.6357253599117</v>
      </c>
    </row>
    <row r="40" spans="1:14">
      <c r="A40" s="403">
        <v>269</v>
      </c>
      <c r="B40" s="403">
        <v>64</v>
      </c>
      <c r="C40" s="166">
        <v>2186</v>
      </c>
      <c r="D40" s="166">
        <v>80</v>
      </c>
      <c r="E40" s="166" t="s">
        <v>1205</v>
      </c>
      <c r="F40" s="166">
        <v>999.79774011299048</v>
      </c>
      <c r="I40" s="404">
        <v>37</v>
      </c>
      <c r="J40" s="404" t="s">
        <v>1249</v>
      </c>
      <c r="K40" s="404">
        <v>5</v>
      </c>
      <c r="L40" s="404">
        <v>4</v>
      </c>
      <c r="M40" s="404">
        <v>2288</v>
      </c>
      <c r="N40" s="404"/>
    </row>
    <row r="41" spans="1:14">
      <c r="A41" s="403">
        <v>270</v>
      </c>
      <c r="B41" s="403">
        <v>64</v>
      </c>
      <c r="C41" s="166">
        <v>2186</v>
      </c>
      <c r="D41" s="166">
        <v>80</v>
      </c>
      <c r="E41" s="166" t="s">
        <v>1205</v>
      </c>
      <c r="F41" s="166">
        <v>999.79774011299048</v>
      </c>
      <c r="I41" s="404">
        <v>38</v>
      </c>
      <c r="J41" s="404" t="s">
        <v>1250</v>
      </c>
      <c r="K41" s="404">
        <v>5</v>
      </c>
      <c r="L41" s="404">
        <v>52</v>
      </c>
      <c r="M41" s="404">
        <v>1470</v>
      </c>
      <c r="N41" s="404">
        <v>1401.0368206521739</v>
      </c>
    </row>
    <row r="42" spans="1:14">
      <c r="A42" s="403">
        <v>271</v>
      </c>
      <c r="B42" s="403">
        <v>64</v>
      </c>
      <c r="C42" s="166">
        <v>2186</v>
      </c>
      <c r="D42" s="166">
        <v>80</v>
      </c>
      <c r="E42" s="166" t="s">
        <v>1205</v>
      </c>
      <c r="F42" s="166">
        <v>999.79774011299048</v>
      </c>
      <c r="I42" s="404">
        <v>39</v>
      </c>
      <c r="J42" s="404" t="s">
        <v>1251</v>
      </c>
      <c r="K42" s="404">
        <v>5</v>
      </c>
      <c r="L42" s="404">
        <v>4</v>
      </c>
      <c r="M42" s="404">
        <v>2211</v>
      </c>
      <c r="N42" s="404">
        <v>226.53842543204519</v>
      </c>
    </row>
    <row r="43" spans="1:14">
      <c r="A43" s="403">
        <v>272</v>
      </c>
      <c r="B43" s="403">
        <v>64</v>
      </c>
      <c r="C43" s="166">
        <v>2186</v>
      </c>
      <c r="D43" s="166">
        <v>80</v>
      </c>
      <c r="E43" s="166" t="s">
        <v>1205</v>
      </c>
      <c r="F43" s="166">
        <v>999.79774011299048</v>
      </c>
      <c r="I43" s="404">
        <v>41</v>
      </c>
      <c r="J43" s="404" t="s">
        <v>1252</v>
      </c>
      <c r="K43" s="404">
        <v>5</v>
      </c>
      <c r="L43" s="404">
        <v>17</v>
      </c>
      <c r="M43" s="404">
        <v>2429</v>
      </c>
      <c r="N43" s="404">
        <v>1401.0368206521732</v>
      </c>
    </row>
    <row r="44" spans="1:14">
      <c r="A44" s="403">
        <v>273</v>
      </c>
      <c r="B44" s="403">
        <v>64</v>
      </c>
      <c r="C44" s="166">
        <v>2186</v>
      </c>
      <c r="D44" s="166">
        <v>80</v>
      </c>
      <c r="E44" s="166" t="s">
        <v>1205</v>
      </c>
      <c r="F44" s="166">
        <v>999.79774011299048</v>
      </c>
      <c r="I44" s="404">
        <v>42</v>
      </c>
      <c r="J44" s="404" t="s">
        <v>1253</v>
      </c>
      <c r="K44" s="404">
        <v>5</v>
      </c>
      <c r="L44" s="404">
        <v>98</v>
      </c>
      <c r="M44" s="404">
        <v>1950</v>
      </c>
      <c r="N44" s="404">
        <v>467.57103247549094</v>
      </c>
    </row>
    <row r="45" spans="1:14">
      <c r="A45" s="403">
        <v>274</v>
      </c>
      <c r="B45" s="403">
        <v>64</v>
      </c>
      <c r="C45" s="166">
        <v>2186</v>
      </c>
      <c r="D45" s="166">
        <v>80</v>
      </c>
      <c r="E45" s="166" t="s">
        <v>1205</v>
      </c>
      <c r="F45" s="166">
        <v>999.79774011299048</v>
      </c>
      <c r="I45" s="404">
        <v>43</v>
      </c>
      <c r="J45" s="404" t="s">
        <v>1254</v>
      </c>
      <c r="K45" s="404">
        <v>5</v>
      </c>
      <c r="L45" s="404">
        <v>140</v>
      </c>
      <c r="M45" s="404">
        <v>1424</v>
      </c>
      <c r="N45" s="404">
        <v>1270.6823137254898</v>
      </c>
    </row>
    <row r="46" spans="1:14">
      <c r="A46" s="403">
        <v>275</v>
      </c>
      <c r="B46" s="403">
        <v>64</v>
      </c>
      <c r="C46" s="166">
        <v>2186</v>
      </c>
      <c r="D46" s="166">
        <v>80</v>
      </c>
      <c r="E46" s="166" t="s">
        <v>1205</v>
      </c>
      <c r="F46" s="166">
        <v>999.79774011299048</v>
      </c>
      <c r="I46" s="404">
        <v>44</v>
      </c>
      <c r="J46" s="404" t="s">
        <v>1255</v>
      </c>
      <c r="K46" s="404">
        <v>5</v>
      </c>
      <c r="L46" s="404">
        <v>207</v>
      </c>
      <c r="M46" s="404">
        <v>1143</v>
      </c>
      <c r="N46" s="404">
        <v>1504.2944403077693</v>
      </c>
    </row>
    <row r="47" spans="1:14">
      <c r="A47" s="403">
        <v>276</v>
      </c>
      <c r="B47" s="403">
        <v>64</v>
      </c>
      <c r="C47" s="166">
        <v>2186</v>
      </c>
      <c r="D47" s="166">
        <v>80</v>
      </c>
      <c r="E47" s="166" t="s">
        <v>1205</v>
      </c>
      <c r="F47" s="166">
        <v>999.79774011299048</v>
      </c>
      <c r="I47" s="404">
        <v>45</v>
      </c>
      <c r="J47" s="404" t="s">
        <v>1214</v>
      </c>
      <c r="K47" s="404">
        <v>5</v>
      </c>
      <c r="L47" s="404">
        <v>255</v>
      </c>
      <c r="M47" s="404">
        <v>1024</v>
      </c>
      <c r="N47" s="404">
        <v>2543.9757462686557</v>
      </c>
    </row>
    <row r="48" spans="1:14">
      <c r="A48" s="403">
        <v>277</v>
      </c>
      <c r="B48" s="403">
        <v>64</v>
      </c>
      <c r="C48" s="166">
        <v>2186</v>
      </c>
      <c r="D48" s="166">
        <v>80</v>
      </c>
      <c r="E48" s="166" t="s">
        <v>1205</v>
      </c>
      <c r="F48" s="166">
        <v>999.79774011299048</v>
      </c>
      <c r="I48" s="404">
        <v>46</v>
      </c>
      <c r="J48" s="404" t="s">
        <v>1256</v>
      </c>
      <c r="K48" s="404">
        <v>5</v>
      </c>
      <c r="L48" s="404">
        <v>137</v>
      </c>
      <c r="M48" s="404">
        <v>955</v>
      </c>
      <c r="N48" s="404">
        <v>1548.9868079289131</v>
      </c>
    </row>
    <row r="49" spans="1:14">
      <c r="A49" s="403">
        <v>278</v>
      </c>
      <c r="B49" s="403">
        <v>64</v>
      </c>
      <c r="C49" s="166">
        <v>2186</v>
      </c>
      <c r="D49" s="166">
        <v>80</v>
      </c>
      <c r="E49" s="166" t="s">
        <v>1205</v>
      </c>
      <c r="F49" s="166">
        <v>999.79774011299048</v>
      </c>
      <c r="I49" s="404">
        <v>47</v>
      </c>
      <c r="J49" s="404" t="s">
        <v>1257</v>
      </c>
      <c r="K49" s="404">
        <v>5</v>
      </c>
      <c r="L49" s="404">
        <v>380</v>
      </c>
      <c r="M49" s="404">
        <v>820</v>
      </c>
      <c r="N49" s="404">
        <v>3027.2669841269849</v>
      </c>
    </row>
    <row r="50" spans="1:14">
      <c r="A50" s="403">
        <v>279</v>
      </c>
      <c r="B50" s="403">
        <v>64</v>
      </c>
      <c r="C50" s="166">
        <v>2186</v>
      </c>
      <c r="D50" s="166">
        <v>80</v>
      </c>
      <c r="E50" s="166" t="s">
        <v>1205</v>
      </c>
      <c r="F50" s="166">
        <v>999.79774011299048</v>
      </c>
      <c r="I50" s="404">
        <v>48</v>
      </c>
      <c r="J50" s="404" t="s">
        <v>1258</v>
      </c>
      <c r="K50" s="404">
        <v>5</v>
      </c>
      <c r="L50" s="404">
        <v>603</v>
      </c>
      <c r="M50" s="404">
        <v>844</v>
      </c>
      <c r="N50" s="404">
        <v>2254.8254745866489</v>
      </c>
    </row>
    <row r="51" spans="1:14">
      <c r="A51" s="403">
        <v>280</v>
      </c>
      <c r="B51" s="403">
        <v>64</v>
      </c>
      <c r="C51" s="166">
        <v>2186</v>
      </c>
      <c r="D51" s="166">
        <v>80</v>
      </c>
      <c r="E51" s="166" t="s">
        <v>1205</v>
      </c>
      <c r="F51" s="166">
        <v>999.79774011299048</v>
      </c>
      <c r="I51" s="404">
        <v>49</v>
      </c>
      <c r="J51" s="404" t="s">
        <v>1259</v>
      </c>
      <c r="K51" s="404">
        <v>5</v>
      </c>
      <c r="L51" s="404">
        <v>660</v>
      </c>
      <c r="M51" s="404">
        <v>876</v>
      </c>
      <c r="N51" s="404">
        <v>682.12607655502609</v>
      </c>
    </row>
    <row r="52" spans="1:14">
      <c r="A52" s="403">
        <v>281</v>
      </c>
      <c r="B52" s="403">
        <v>64</v>
      </c>
      <c r="C52" s="166">
        <v>2186</v>
      </c>
      <c r="D52" s="166">
        <v>80</v>
      </c>
      <c r="E52" s="166" t="s">
        <v>1205</v>
      </c>
      <c r="F52" s="166">
        <v>999.79774011299048</v>
      </c>
      <c r="I52" s="404">
        <v>50</v>
      </c>
      <c r="J52" s="404" t="s">
        <v>1260</v>
      </c>
      <c r="K52" s="404">
        <v>5</v>
      </c>
      <c r="L52" s="404">
        <v>229</v>
      </c>
      <c r="M52" s="404">
        <v>1375</v>
      </c>
      <c r="N52" s="404">
        <v>971.33073694029781</v>
      </c>
    </row>
    <row r="53" spans="1:14">
      <c r="A53" s="403">
        <v>282</v>
      </c>
      <c r="B53" s="403">
        <v>64</v>
      </c>
      <c r="C53" s="166">
        <v>2186</v>
      </c>
      <c r="D53" s="166">
        <v>80</v>
      </c>
      <c r="E53" s="166" t="s">
        <v>1205</v>
      </c>
      <c r="F53" s="166">
        <v>999.79774011299048</v>
      </c>
      <c r="I53" s="404">
        <v>51</v>
      </c>
      <c r="J53" s="404" t="s">
        <v>1261</v>
      </c>
      <c r="K53" s="404">
        <v>5</v>
      </c>
      <c r="L53" s="404">
        <v>325</v>
      </c>
      <c r="M53" s="404">
        <v>1043</v>
      </c>
      <c r="N53" s="404">
        <v>580.41128456734828</v>
      </c>
    </row>
    <row r="54" spans="1:14">
      <c r="A54" s="403">
        <v>283</v>
      </c>
      <c r="B54" s="403">
        <v>64</v>
      </c>
      <c r="C54" s="166">
        <v>2186</v>
      </c>
      <c r="D54" s="166">
        <v>80</v>
      </c>
      <c r="E54" s="166" t="s">
        <v>1205</v>
      </c>
      <c r="F54" s="166">
        <v>999.79774011299048</v>
      </c>
      <c r="I54" s="404">
        <v>52</v>
      </c>
      <c r="J54" s="404" t="s">
        <v>1262</v>
      </c>
      <c r="K54" s="404">
        <v>6</v>
      </c>
      <c r="L54" s="404">
        <v>813</v>
      </c>
      <c r="M54" s="404">
        <v>523</v>
      </c>
      <c r="N54" s="404">
        <v>2325.6376458112409</v>
      </c>
    </row>
    <row r="55" spans="1:14">
      <c r="A55" s="403">
        <v>284</v>
      </c>
      <c r="B55" s="403">
        <v>64</v>
      </c>
      <c r="C55" s="166">
        <v>2186</v>
      </c>
      <c r="D55" s="166">
        <v>80</v>
      </c>
      <c r="E55" s="166" t="s">
        <v>1205</v>
      </c>
      <c r="F55" s="166">
        <v>999.79774011299048</v>
      </c>
      <c r="I55" s="404">
        <v>53</v>
      </c>
      <c r="J55" s="404" t="s">
        <v>1263</v>
      </c>
      <c r="K55" s="404">
        <v>6</v>
      </c>
      <c r="L55" s="404">
        <v>1112</v>
      </c>
      <c r="M55" s="404">
        <v>230</v>
      </c>
      <c r="N55" s="404">
        <v>2454.8359472049692</v>
      </c>
    </row>
    <row r="56" spans="1:14">
      <c r="A56" s="403">
        <v>285</v>
      </c>
      <c r="B56" s="403">
        <v>64</v>
      </c>
      <c r="C56" s="166">
        <v>2186</v>
      </c>
      <c r="D56" s="166">
        <v>80</v>
      </c>
      <c r="E56" s="166" t="s">
        <v>1205</v>
      </c>
      <c r="F56" s="166">
        <v>999.79774011299048</v>
      </c>
      <c r="I56" s="404">
        <v>54</v>
      </c>
      <c r="J56" s="404" t="s">
        <v>1264</v>
      </c>
      <c r="K56" s="404">
        <v>6</v>
      </c>
      <c r="L56" s="404">
        <v>1330</v>
      </c>
      <c r="M56" s="404">
        <v>358</v>
      </c>
      <c r="N56" s="404">
        <v>1339.9783636363634</v>
      </c>
    </row>
    <row r="57" spans="1:14">
      <c r="A57" s="403">
        <v>286</v>
      </c>
      <c r="B57" s="403">
        <v>64</v>
      </c>
      <c r="C57" s="166">
        <v>2186</v>
      </c>
      <c r="D57" s="166">
        <v>80</v>
      </c>
      <c r="E57" s="166" t="s">
        <v>1205</v>
      </c>
      <c r="F57" s="166">
        <v>999.79774011299048</v>
      </c>
      <c r="I57" s="404">
        <v>55</v>
      </c>
      <c r="J57" s="404" t="s">
        <v>1265</v>
      </c>
      <c r="K57" s="404">
        <v>6</v>
      </c>
      <c r="L57" s="404">
        <v>944</v>
      </c>
      <c r="M57" s="404">
        <v>470</v>
      </c>
      <c r="N57" s="404">
        <v>1249.7389584575644</v>
      </c>
    </row>
    <row r="58" spans="1:14">
      <c r="A58" s="403">
        <v>287</v>
      </c>
      <c r="B58" s="403">
        <v>64</v>
      </c>
      <c r="C58" s="166">
        <v>2186</v>
      </c>
      <c r="D58" s="166">
        <v>80</v>
      </c>
      <c r="E58" s="166" t="s">
        <v>1205</v>
      </c>
      <c r="F58" s="166">
        <v>999.79774011299048</v>
      </c>
      <c r="I58" s="404">
        <v>56</v>
      </c>
      <c r="J58" s="404" t="s">
        <v>1266</v>
      </c>
      <c r="K58" s="404">
        <v>6</v>
      </c>
      <c r="L58" s="404">
        <v>1164</v>
      </c>
      <c r="M58" s="404">
        <v>283</v>
      </c>
      <c r="N58" s="404">
        <v>1552.0221730308053</v>
      </c>
    </row>
    <row r="59" spans="1:14">
      <c r="A59" s="403">
        <v>288</v>
      </c>
      <c r="B59" s="403">
        <v>64</v>
      </c>
      <c r="C59" s="166">
        <v>2186</v>
      </c>
      <c r="D59" s="166">
        <v>80</v>
      </c>
      <c r="E59" s="166" t="s">
        <v>1205</v>
      </c>
      <c r="F59" s="166">
        <v>999.79774011299048</v>
      </c>
      <c r="I59" s="404">
        <v>57</v>
      </c>
      <c r="J59" s="404" t="s">
        <v>1267</v>
      </c>
      <c r="K59" s="404">
        <v>6</v>
      </c>
      <c r="L59" s="404">
        <v>1608</v>
      </c>
      <c r="M59" s="404">
        <v>219</v>
      </c>
      <c r="N59" s="404">
        <v>1245.7818449612405</v>
      </c>
    </row>
    <row r="60" spans="1:14">
      <c r="A60" s="403">
        <v>289</v>
      </c>
      <c r="B60" s="403">
        <v>64</v>
      </c>
      <c r="C60" s="166">
        <v>2186</v>
      </c>
      <c r="D60" s="166">
        <v>80</v>
      </c>
      <c r="E60" s="166" t="s">
        <v>1205</v>
      </c>
      <c r="F60" s="166">
        <v>999.79774011299048</v>
      </c>
      <c r="I60" s="404">
        <v>58</v>
      </c>
      <c r="J60" s="404" t="s">
        <v>1268</v>
      </c>
      <c r="K60" s="404">
        <v>6</v>
      </c>
      <c r="L60" s="404">
        <v>401</v>
      </c>
      <c r="M60" s="404">
        <v>1122</v>
      </c>
      <c r="N60" s="404">
        <v>493.31943689009813</v>
      </c>
    </row>
    <row r="61" spans="1:14">
      <c r="A61" s="403">
        <v>290</v>
      </c>
      <c r="B61" s="403">
        <v>64</v>
      </c>
      <c r="C61" s="166">
        <v>2186</v>
      </c>
      <c r="D61" s="166">
        <v>80</v>
      </c>
      <c r="E61" s="166" t="s">
        <v>1205</v>
      </c>
      <c r="F61" s="166">
        <v>999.79774011299048</v>
      </c>
      <c r="I61" s="404">
        <v>59</v>
      </c>
      <c r="J61" s="404" t="s">
        <v>1269</v>
      </c>
      <c r="K61" s="404">
        <v>6</v>
      </c>
      <c r="L61" s="404">
        <v>1769</v>
      </c>
      <c r="M61" s="404">
        <v>206</v>
      </c>
      <c r="N61" s="404">
        <v>1139.4266227004518</v>
      </c>
    </row>
    <row r="62" spans="1:14">
      <c r="A62" s="403">
        <v>291</v>
      </c>
      <c r="B62" s="403">
        <v>64</v>
      </c>
      <c r="C62" s="166">
        <v>2186</v>
      </c>
      <c r="D62" s="166">
        <v>80</v>
      </c>
      <c r="E62" s="166" t="s">
        <v>1205</v>
      </c>
      <c r="F62" s="166">
        <v>999.79774011299048</v>
      </c>
      <c r="I62" s="404">
        <v>60</v>
      </c>
      <c r="J62" s="404" t="s">
        <v>1270</v>
      </c>
      <c r="K62" s="404">
        <v>6</v>
      </c>
      <c r="L62" s="404">
        <v>596</v>
      </c>
      <c r="M62" s="404">
        <v>853</v>
      </c>
      <c r="N62" s="404">
        <v>324.85453024145386</v>
      </c>
    </row>
    <row r="63" spans="1:14">
      <c r="A63" s="403">
        <v>293</v>
      </c>
      <c r="B63" s="403">
        <v>64</v>
      </c>
      <c r="C63" s="166">
        <v>2186</v>
      </c>
      <c r="D63" s="166">
        <v>80</v>
      </c>
      <c r="E63" s="166" t="s">
        <v>1205</v>
      </c>
      <c r="F63" s="166">
        <v>999.79774011299048</v>
      </c>
      <c r="I63" s="404">
        <v>61</v>
      </c>
      <c r="J63" s="404" t="s">
        <v>1271</v>
      </c>
      <c r="K63" s="404">
        <v>6</v>
      </c>
      <c r="L63" s="404">
        <v>616</v>
      </c>
      <c r="M63" s="404">
        <v>653</v>
      </c>
      <c r="N63" s="404">
        <v>661.79028571428785</v>
      </c>
    </row>
    <row r="64" spans="1:14">
      <c r="A64" s="403">
        <v>294</v>
      </c>
      <c r="B64" s="403">
        <v>64</v>
      </c>
      <c r="C64" s="166">
        <v>2186</v>
      </c>
      <c r="D64" s="166">
        <v>80</v>
      </c>
      <c r="E64" s="166" t="s">
        <v>1205</v>
      </c>
      <c r="F64" s="166">
        <v>999.79774011299048</v>
      </c>
      <c r="I64" s="404">
        <v>62</v>
      </c>
      <c r="J64" s="404" t="s">
        <v>1272</v>
      </c>
      <c r="K64" s="404">
        <v>6</v>
      </c>
      <c r="L64" s="404">
        <v>2023</v>
      </c>
      <c r="M64" s="404">
        <v>89</v>
      </c>
      <c r="N64" s="404">
        <v>740.9917857142857</v>
      </c>
    </row>
    <row r="65" spans="1:14">
      <c r="A65" s="403">
        <v>295</v>
      </c>
      <c r="B65" s="403">
        <v>64</v>
      </c>
      <c r="C65" s="166">
        <v>2186</v>
      </c>
      <c r="D65" s="166">
        <v>80</v>
      </c>
      <c r="E65" s="166" t="s">
        <v>1205</v>
      </c>
      <c r="F65" s="166">
        <v>999.79774011299048</v>
      </c>
      <c r="I65" s="404">
        <v>63</v>
      </c>
      <c r="J65" s="404" t="s">
        <v>1273</v>
      </c>
      <c r="K65" s="404">
        <v>6</v>
      </c>
      <c r="L65" s="404">
        <v>642</v>
      </c>
      <c r="M65" s="404">
        <v>541</v>
      </c>
      <c r="N65" s="404">
        <v>751.44065116284287</v>
      </c>
    </row>
    <row r="66" spans="1:14">
      <c r="A66" s="403">
        <v>296</v>
      </c>
      <c r="B66" s="403">
        <v>64</v>
      </c>
      <c r="C66" s="166">
        <v>2186</v>
      </c>
      <c r="D66" s="166">
        <v>80</v>
      </c>
      <c r="E66" s="166" t="s">
        <v>1205</v>
      </c>
      <c r="F66" s="166">
        <v>999.79774011299048</v>
      </c>
      <c r="I66" s="404">
        <v>64</v>
      </c>
      <c r="J66" s="404" t="s">
        <v>1274</v>
      </c>
      <c r="K66" s="404">
        <v>6</v>
      </c>
      <c r="L66" s="404">
        <v>2186</v>
      </c>
      <c r="M66" s="404">
        <v>80</v>
      </c>
      <c r="N66" s="404">
        <v>999.79774011299048</v>
      </c>
    </row>
    <row r="67" spans="1:14">
      <c r="A67" s="403">
        <v>297</v>
      </c>
      <c r="B67" s="403">
        <v>64</v>
      </c>
      <c r="C67" s="166">
        <v>2186</v>
      </c>
      <c r="D67" s="166">
        <v>80</v>
      </c>
      <c r="E67" s="166" t="s">
        <v>1205</v>
      </c>
      <c r="F67" s="166">
        <v>999.79774011299048</v>
      </c>
      <c r="I67" s="404">
        <v>65</v>
      </c>
      <c r="J67" s="404" t="s">
        <v>1275</v>
      </c>
      <c r="K67" s="404">
        <v>6</v>
      </c>
      <c r="L67" s="404">
        <v>690</v>
      </c>
      <c r="M67" s="404">
        <v>577</v>
      </c>
      <c r="N67" s="404">
        <v>570.50270941521808</v>
      </c>
    </row>
    <row r="68" spans="1:14">
      <c r="A68" s="403">
        <v>298</v>
      </c>
      <c r="B68" s="403">
        <v>64</v>
      </c>
      <c r="C68" s="166">
        <v>2186</v>
      </c>
      <c r="D68" s="166">
        <v>80</v>
      </c>
      <c r="E68" s="166" t="s">
        <v>1205</v>
      </c>
      <c r="F68" s="166">
        <v>999.79774011299048</v>
      </c>
      <c r="I68" s="404">
        <v>66</v>
      </c>
      <c r="J68" s="404" t="s">
        <v>1276</v>
      </c>
      <c r="K68" s="404">
        <v>8</v>
      </c>
      <c r="L68" s="404">
        <v>0</v>
      </c>
      <c r="M68" s="404">
        <v>2895</v>
      </c>
      <c r="N68" s="404">
        <v>857.407188146007</v>
      </c>
    </row>
    <row r="69" spans="1:14">
      <c r="A69" s="403">
        <v>299</v>
      </c>
      <c r="B69" s="403">
        <v>64</v>
      </c>
      <c r="C69" s="166">
        <v>2186</v>
      </c>
      <c r="D69" s="166">
        <v>80</v>
      </c>
      <c r="E69" s="166" t="s">
        <v>1205</v>
      </c>
      <c r="F69" s="166">
        <v>999.79774011299048</v>
      </c>
      <c r="I69" s="404">
        <v>67</v>
      </c>
      <c r="J69" s="404" t="s">
        <v>1277</v>
      </c>
      <c r="K69" s="404">
        <v>8</v>
      </c>
      <c r="L69" s="404">
        <v>0</v>
      </c>
      <c r="M69" s="404">
        <v>3344</v>
      </c>
      <c r="N69" s="404">
        <v>1537.6194974321352</v>
      </c>
    </row>
    <row r="70" spans="1:14">
      <c r="A70" s="403">
        <v>800</v>
      </c>
      <c r="B70" s="403">
        <v>66</v>
      </c>
      <c r="C70" s="166">
        <v>0</v>
      </c>
      <c r="D70" s="166">
        <v>2895</v>
      </c>
      <c r="E70" s="166" t="s">
        <v>1103</v>
      </c>
      <c r="F70" s="166">
        <v>857.407188146007</v>
      </c>
      <c r="I70" s="404">
        <v>68</v>
      </c>
      <c r="J70" s="404" t="s">
        <v>1278</v>
      </c>
      <c r="K70" s="404">
        <v>8</v>
      </c>
      <c r="L70" s="404">
        <v>10</v>
      </c>
      <c r="M70" s="404">
        <v>2165</v>
      </c>
      <c r="N70" s="404"/>
    </row>
    <row r="71" spans="1:14">
      <c r="A71" s="403">
        <v>801</v>
      </c>
      <c r="B71" s="403">
        <v>66</v>
      </c>
      <c r="C71" s="166">
        <v>0</v>
      </c>
      <c r="D71" s="166">
        <v>2895</v>
      </c>
      <c r="E71" s="166" t="s">
        <v>1103</v>
      </c>
      <c r="F71" s="166">
        <v>857.407188146007</v>
      </c>
      <c r="I71" s="404">
        <v>69</v>
      </c>
      <c r="J71" s="404" t="s">
        <v>1209</v>
      </c>
      <c r="K71" s="404">
        <v>8</v>
      </c>
      <c r="L71" s="404">
        <v>1</v>
      </c>
      <c r="M71" s="404">
        <v>2369</v>
      </c>
      <c r="N71" s="404"/>
    </row>
    <row r="72" spans="1:14">
      <c r="A72" s="403">
        <v>804</v>
      </c>
      <c r="B72" s="403">
        <v>66</v>
      </c>
      <c r="C72" s="166">
        <v>0</v>
      </c>
      <c r="D72" s="166">
        <v>2895</v>
      </c>
      <c r="E72" s="166" t="s">
        <v>1103</v>
      </c>
      <c r="F72" s="166">
        <v>857.407188146007</v>
      </c>
      <c r="I72" s="404">
        <v>70</v>
      </c>
      <c r="J72" s="404" t="s">
        <v>1279</v>
      </c>
      <c r="K72" s="404">
        <v>8</v>
      </c>
      <c r="L72" s="404">
        <v>79</v>
      </c>
      <c r="M72" s="404">
        <v>958</v>
      </c>
      <c r="N72" s="404">
        <v>3378.5286445012798</v>
      </c>
    </row>
    <row r="73" spans="1:14">
      <c r="A73" s="403">
        <v>810</v>
      </c>
      <c r="B73" s="403">
        <v>66</v>
      </c>
      <c r="C73" s="166">
        <v>0</v>
      </c>
      <c r="D73" s="166">
        <v>2895</v>
      </c>
      <c r="E73" s="166" t="s">
        <v>1103</v>
      </c>
      <c r="F73" s="166">
        <v>857.407188146007</v>
      </c>
      <c r="I73" s="404">
        <v>71</v>
      </c>
      <c r="J73" s="404" t="s">
        <v>1280</v>
      </c>
      <c r="K73" s="404">
        <v>8</v>
      </c>
      <c r="L73" s="404">
        <v>660</v>
      </c>
      <c r="M73" s="404">
        <v>379</v>
      </c>
      <c r="N73" s="404">
        <v>2601.2656189555128</v>
      </c>
    </row>
    <row r="74" spans="1:14">
      <c r="A74" s="403">
        <v>811</v>
      </c>
      <c r="B74" s="403">
        <v>66</v>
      </c>
      <c r="C74" s="166">
        <v>0</v>
      </c>
      <c r="D74" s="166">
        <v>2895</v>
      </c>
      <c r="E74" s="166" t="s">
        <v>1103</v>
      </c>
      <c r="F74" s="166">
        <v>857.407188146007</v>
      </c>
    </row>
    <row r="75" spans="1:14">
      <c r="A75" s="403">
        <v>812</v>
      </c>
      <c r="B75" s="403">
        <v>66</v>
      </c>
      <c r="C75" s="166">
        <v>0</v>
      </c>
      <c r="D75" s="166">
        <v>2895</v>
      </c>
      <c r="E75" s="166" t="s">
        <v>1103</v>
      </c>
      <c r="F75" s="166">
        <v>857.407188146007</v>
      </c>
    </row>
    <row r="76" spans="1:14">
      <c r="A76" s="403">
        <v>813</v>
      </c>
      <c r="B76" s="403">
        <v>66</v>
      </c>
      <c r="C76" s="166">
        <v>0</v>
      </c>
      <c r="D76" s="166">
        <v>2895</v>
      </c>
      <c r="E76" s="166" t="s">
        <v>1103</v>
      </c>
      <c r="F76" s="166">
        <v>857.407188146007</v>
      </c>
    </row>
    <row r="77" spans="1:14">
      <c r="A77" s="403">
        <v>814</v>
      </c>
      <c r="B77" s="403">
        <v>66</v>
      </c>
      <c r="C77" s="166">
        <v>0</v>
      </c>
      <c r="D77" s="166">
        <v>2895</v>
      </c>
      <c r="E77" s="166" t="s">
        <v>1103</v>
      </c>
      <c r="F77" s="166">
        <v>857.407188146007</v>
      </c>
    </row>
    <row r="78" spans="1:14">
      <c r="A78" s="403">
        <v>815</v>
      </c>
      <c r="B78" s="403">
        <v>66</v>
      </c>
      <c r="C78" s="166">
        <v>0</v>
      </c>
      <c r="D78" s="166">
        <v>2895</v>
      </c>
      <c r="E78" s="166" t="s">
        <v>1103</v>
      </c>
      <c r="F78" s="166">
        <v>857.407188146007</v>
      </c>
    </row>
    <row r="79" spans="1:14">
      <c r="A79" s="403">
        <v>820</v>
      </c>
      <c r="B79" s="403">
        <v>66</v>
      </c>
      <c r="C79" s="166">
        <v>0</v>
      </c>
      <c r="D79" s="166">
        <v>2895</v>
      </c>
      <c r="E79" s="166" t="s">
        <v>1103</v>
      </c>
      <c r="F79" s="166">
        <v>857.407188146007</v>
      </c>
    </row>
    <row r="80" spans="1:14">
      <c r="A80" s="403">
        <v>821</v>
      </c>
      <c r="B80" s="403">
        <v>66</v>
      </c>
      <c r="C80" s="166">
        <v>0</v>
      </c>
      <c r="D80" s="166">
        <v>2895</v>
      </c>
      <c r="E80" s="166" t="s">
        <v>1103</v>
      </c>
      <c r="F80" s="166">
        <v>857.407188146007</v>
      </c>
    </row>
    <row r="81" spans="1:6">
      <c r="A81" s="403">
        <v>822</v>
      </c>
      <c r="B81" s="403">
        <v>66</v>
      </c>
      <c r="C81" s="166">
        <v>0</v>
      </c>
      <c r="D81" s="166">
        <v>2895</v>
      </c>
      <c r="E81" s="166" t="s">
        <v>1103</v>
      </c>
      <c r="F81" s="166">
        <v>857.407188146007</v>
      </c>
    </row>
    <row r="82" spans="1:6">
      <c r="A82" s="403">
        <v>828</v>
      </c>
      <c r="B82" s="403">
        <v>66</v>
      </c>
      <c r="C82" s="166">
        <v>0</v>
      </c>
      <c r="D82" s="166">
        <v>2895</v>
      </c>
      <c r="E82" s="166" t="s">
        <v>1103</v>
      </c>
      <c r="F82" s="166">
        <v>857.407188146007</v>
      </c>
    </row>
    <row r="83" spans="1:6">
      <c r="A83" s="403">
        <v>830</v>
      </c>
      <c r="B83" s="403">
        <v>66</v>
      </c>
      <c r="C83" s="166">
        <v>0</v>
      </c>
      <c r="D83" s="166">
        <v>2895</v>
      </c>
      <c r="E83" s="166" t="s">
        <v>1103</v>
      </c>
      <c r="F83" s="166">
        <v>857.407188146007</v>
      </c>
    </row>
    <row r="84" spans="1:6">
      <c r="A84" s="403">
        <v>831</v>
      </c>
      <c r="B84" s="403">
        <v>66</v>
      </c>
      <c r="C84" s="166">
        <v>0</v>
      </c>
      <c r="D84" s="166">
        <v>2895</v>
      </c>
      <c r="E84" s="166" t="s">
        <v>1103</v>
      </c>
      <c r="F84" s="166">
        <v>857.407188146007</v>
      </c>
    </row>
    <row r="85" spans="1:6">
      <c r="A85" s="403">
        <v>832</v>
      </c>
      <c r="B85" s="403">
        <v>66</v>
      </c>
      <c r="C85" s="166">
        <v>0</v>
      </c>
      <c r="D85" s="166">
        <v>2895</v>
      </c>
      <c r="E85" s="166" t="s">
        <v>1103</v>
      </c>
      <c r="F85" s="166">
        <v>857.407188146007</v>
      </c>
    </row>
    <row r="86" spans="1:6">
      <c r="A86" s="403">
        <v>835</v>
      </c>
      <c r="B86" s="403">
        <v>66</v>
      </c>
      <c r="C86" s="166">
        <v>0</v>
      </c>
      <c r="D86" s="166">
        <v>2895</v>
      </c>
      <c r="E86" s="166" t="s">
        <v>1103</v>
      </c>
      <c r="F86" s="166">
        <v>857.407188146007</v>
      </c>
    </row>
    <row r="87" spans="1:6">
      <c r="A87" s="403">
        <v>836</v>
      </c>
      <c r="B87" s="403">
        <v>66</v>
      </c>
      <c r="C87" s="166">
        <v>0</v>
      </c>
      <c r="D87" s="166">
        <v>2895</v>
      </c>
      <c r="E87" s="166" t="s">
        <v>1103</v>
      </c>
      <c r="F87" s="166">
        <v>857.407188146007</v>
      </c>
    </row>
    <row r="88" spans="1:6">
      <c r="A88" s="403">
        <v>837</v>
      </c>
      <c r="B88" s="403">
        <v>66</v>
      </c>
      <c r="C88" s="166">
        <v>0</v>
      </c>
      <c r="D88" s="166">
        <v>2895</v>
      </c>
      <c r="E88" s="166" t="s">
        <v>1103</v>
      </c>
      <c r="F88" s="166">
        <v>857.407188146007</v>
      </c>
    </row>
    <row r="89" spans="1:6">
      <c r="A89" s="403">
        <v>840</v>
      </c>
      <c r="B89" s="403">
        <v>66</v>
      </c>
      <c r="C89" s="166">
        <v>0</v>
      </c>
      <c r="D89" s="166">
        <v>2895</v>
      </c>
      <c r="E89" s="166" t="s">
        <v>1103</v>
      </c>
      <c r="F89" s="166">
        <v>857.407188146007</v>
      </c>
    </row>
    <row r="90" spans="1:6">
      <c r="A90" s="403">
        <v>845</v>
      </c>
      <c r="B90" s="403">
        <v>66</v>
      </c>
      <c r="C90" s="166">
        <v>0</v>
      </c>
      <c r="D90" s="166">
        <v>2895</v>
      </c>
      <c r="E90" s="166" t="s">
        <v>1103</v>
      </c>
      <c r="F90" s="166">
        <v>857.407188146007</v>
      </c>
    </row>
    <row r="91" spans="1:6">
      <c r="A91" s="403">
        <v>846</v>
      </c>
      <c r="B91" s="403">
        <v>66</v>
      </c>
      <c r="C91" s="166">
        <v>0</v>
      </c>
      <c r="D91" s="166">
        <v>2895</v>
      </c>
      <c r="E91" s="166" t="s">
        <v>1103</v>
      </c>
      <c r="F91" s="166">
        <v>857.407188146007</v>
      </c>
    </row>
    <row r="92" spans="1:6">
      <c r="A92" s="403">
        <v>847</v>
      </c>
      <c r="B92" s="403">
        <v>66</v>
      </c>
      <c r="C92" s="166">
        <v>0</v>
      </c>
      <c r="D92" s="166">
        <v>2895</v>
      </c>
      <c r="E92" s="166" t="s">
        <v>1103</v>
      </c>
      <c r="F92" s="166">
        <v>857.407188146007</v>
      </c>
    </row>
    <row r="93" spans="1:6">
      <c r="A93" s="403">
        <v>850</v>
      </c>
      <c r="B93" s="403">
        <v>66</v>
      </c>
      <c r="C93" s="166">
        <v>0</v>
      </c>
      <c r="D93" s="166">
        <v>2895</v>
      </c>
      <c r="E93" s="166" t="s">
        <v>1103</v>
      </c>
      <c r="F93" s="166">
        <v>857.407188146007</v>
      </c>
    </row>
    <row r="94" spans="1:6">
      <c r="A94" s="403">
        <v>851</v>
      </c>
      <c r="B94" s="403">
        <v>66</v>
      </c>
      <c r="C94" s="166">
        <v>0</v>
      </c>
      <c r="D94" s="166">
        <v>2895</v>
      </c>
      <c r="E94" s="166" t="s">
        <v>1103</v>
      </c>
      <c r="F94" s="166">
        <v>857.407188146007</v>
      </c>
    </row>
    <row r="95" spans="1:6">
      <c r="A95" s="403">
        <v>852</v>
      </c>
      <c r="B95" s="403">
        <v>66</v>
      </c>
      <c r="C95" s="166">
        <v>0</v>
      </c>
      <c r="D95" s="166">
        <v>2895</v>
      </c>
      <c r="E95" s="166" t="s">
        <v>1103</v>
      </c>
      <c r="F95" s="166">
        <v>857.407188146007</v>
      </c>
    </row>
    <row r="96" spans="1:6">
      <c r="A96" s="403">
        <v>853</v>
      </c>
      <c r="B96" s="403">
        <v>66</v>
      </c>
      <c r="C96" s="166">
        <v>0</v>
      </c>
      <c r="D96" s="166">
        <v>2895</v>
      </c>
      <c r="E96" s="166" t="s">
        <v>1103</v>
      </c>
      <c r="F96" s="166">
        <v>857.407188146007</v>
      </c>
    </row>
    <row r="97" spans="1:6">
      <c r="A97" s="403">
        <v>854</v>
      </c>
      <c r="B97" s="403">
        <v>66</v>
      </c>
      <c r="C97" s="166">
        <v>0</v>
      </c>
      <c r="D97" s="166">
        <v>2895</v>
      </c>
      <c r="E97" s="166" t="s">
        <v>1103</v>
      </c>
      <c r="F97" s="166">
        <v>857.407188146007</v>
      </c>
    </row>
    <row r="98" spans="1:6">
      <c r="A98" s="403">
        <v>860</v>
      </c>
      <c r="B98" s="403">
        <v>70</v>
      </c>
      <c r="C98" s="166">
        <v>79</v>
      </c>
      <c r="D98" s="166">
        <v>958</v>
      </c>
      <c r="E98" s="166" t="s">
        <v>1103</v>
      </c>
      <c r="F98" s="166">
        <v>3378.5286445012798</v>
      </c>
    </row>
    <row r="99" spans="1:6">
      <c r="A99" s="403">
        <v>861</v>
      </c>
      <c r="B99" s="403">
        <v>70</v>
      </c>
      <c r="C99" s="166">
        <v>79</v>
      </c>
      <c r="D99" s="166">
        <v>958</v>
      </c>
      <c r="E99" s="166" t="s">
        <v>1103</v>
      </c>
      <c r="F99" s="166">
        <v>3378.5286445012798</v>
      </c>
    </row>
    <row r="100" spans="1:6">
      <c r="A100" s="403">
        <v>862</v>
      </c>
      <c r="B100" s="403">
        <v>70</v>
      </c>
      <c r="C100" s="166">
        <v>79</v>
      </c>
      <c r="D100" s="166">
        <v>958</v>
      </c>
      <c r="E100" s="166" t="s">
        <v>1103</v>
      </c>
      <c r="F100" s="166">
        <v>3378.5286445012798</v>
      </c>
    </row>
    <row r="101" spans="1:6">
      <c r="A101" s="403">
        <v>870</v>
      </c>
      <c r="B101" s="403">
        <v>71</v>
      </c>
      <c r="C101" s="166">
        <v>660</v>
      </c>
      <c r="D101" s="166">
        <v>379</v>
      </c>
      <c r="E101" s="166" t="s">
        <v>1103</v>
      </c>
      <c r="F101" s="166">
        <v>2601.2656189555128</v>
      </c>
    </row>
    <row r="102" spans="1:6">
      <c r="A102" s="403">
        <v>871</v>
      </c>
      <c r="B102" s="403">
        <v>71</v>
      </c>
      <c r="C102" s="166">
        <v>660</v>
      </c>
      <c r="D102" s="166">
        <v>379</v>
      </c>
      <c r="E102" s="166" t="s">
        <v>1103</v>
      </c>
      <c r="F102" s="166">
        <v>2601.2656189555128</v>
      </c>
    </row>
    <row r="103" spans="1:6">
      <c r="A103" s="403">
        <v>872</v>
      </c>
      <c r="B103" s="403">
        <v>71</v>
      </c>
      <c r="C103" s="166">
        <v>660</v>
      </c>
      <c r="D103" s="166">
        <v>379</v>
      </c>
      <c r="E103" s="166" t="s">
        <v>1103</v>
      </c>
      <c r="F103" s="166">
        <v>2601.2656189555128</v>
      </c>
    </row>
    <row r="104" spans="1:6">
      <c r="A104" s="403">
        <v>880</v>
      </c>
      <c r="B104" s="403">
        <v>67</v>
      </c>
      <c r="C104" s="166">
        <v>0</v>
      </c>
      <c r="D104" s="166">
        <v>3344</v>
      </c>
      <c r="E104" s="166" t="s">
        <v>1103</v>
      </c>
      <c r="F104" s="166">
        <v>1537.6194974321352</v>
      </c>
    </row>
    <row r="105" spans="1:6">
      <c r="A105" s="403">
        <v>881</v>
      </c>
      <c r="B105" s="403">
        <v>67</v>
      </c>
      <c r="C105" s="166">
        <v>0</v>
      </c>
      <c r="D105" s="166">
        <v>3344</v>
      </c>
      <c r="E105" s="166" t="s">
        <v>1103</v>
      </c>
      <c r="F105" s="166">
        <v>1537.6194974321352</v>
      </c>
    </row>
    <row r="106" spans="1:6">
      <c r="A106" s="403">
        <v>885</v>
      </c>
      <c r="B106" s="403">
        <v>67</v>
      </c>
      <c r="C106" s="166">
        <v>0</v>
      </c>
      <c r="D106" s="166">
        <v>3344</v>
      </c>
      <c r="E106" s="166" t="s">
        <v>1103</v>
      </c>
      <c r="F106" s="166">
        <v>1537.6194974321352</v>
      </c>
    </row>
    <row r="107" spans="1:6">
      <c r="A107" s="403">
        <v>886</v>
      </c>
      <c r="B107" s="403">
        <v>66</v>
      </c>
      <c r="C107" s="166">
        <v>0</v>
      </c>
      <c r="D107" s="166">
        <v>2895</v>
      </c>
      <c r="E107" s="166" t="s">
        <v>1103</v>
      </c>
      <c r="F107" s="166">
        <v>857.407188146007</v>
      </c>
    </row>
    <row r="108" spans="1:6">
      <c r="A108" s="403">
        <v>909</v>
      </c>
      <c r="B108" s="403">
        <v>66</v>
      </c>
      <c r="C108" s="166">
        <v>0</v>
      </c>
      <c r="D108" s="166">
        <v>2895</v>
      </c>
      <c r="E108" s="166" t="s">
        <v>1103</v>
      </c>
      <c r="F108" s="166">
        <v>857.407188146007</v>
      </c>
    </row>
    <row r="109" spans="1:6">
      <c r="A109" s="403">
        <v>1001</v>
      </c>
      <c r="B109" s="403">
        <v>63</v>
      </c>
      <c r="C109" s="166">
        <v>642</v>
      </c>
      <c r="D109" s="166">
        <v>541</v>
      </c>
      <c r="E109" s="166" t="s">
        <v>1102</v>
      </c>
      <c r="F109" s="166">
        <v>751.44065116284287</v>
      </c>
    </row>
    <row r="110" spans="1:6">
      <c r="A110" s="403">
        <v>1002</v>
      </c>
      <c r="B110" s="403">
        <v>63</v>
      </c>
      <c r="C110" s="166">
        <v>642</v>
      </c>
      <c r="D110" s="166">
        <v>541</v>
      </c>
      <c r="E110" s="166" t="s">
        <v>1102</v>
      </c>
      <c r="F110" s="166">
        <v>751.44065116284287</v>
      </c>
    </row>
    <row r="111" spans="1:6">
      <c r="A111" s="403">
        <v>1003</v>
      </c>
      <c r="B111" s="403">
        <v>63</v>
      </c>
      <c r="C111" s="166">
        <v>642</v>
      </c>
      <c r="D111" s="166">
        <v>541</v>
      </c>
      <c r="E111" s="166" t="s">
        <v>1102</v>
      </c>
      <c r="F111" s="166">
        <v>751.44065116284287</v>
      </c>
    </row>
    <row r="112" spans="1:6">
      <c r="A112" s="403">
        <v>1004</v>
      </c>
      <c r="B112" s="403">
        <v>63</v>
      </c>
      <c r="C112" s="166">
        <v>642</v>
      </c>
      <c r="D112" s="166">
        <v>541</v>
      </c>
      <c r="E112" s="166" t="s">
        <v>1102</v>
      </c>
      <c r="F112" s="166">
        <v>751.44065116284287</v>
      </c>
    </row>
    <row r="113" spans="1:6">
      <c r="A113" s="403">
        <v>1005</v>
      </c>
      <c r="B113" s="403">
        <v>63</v>
      </c>
      <c r="C113" s="166">
        <v>642</v>
      </c>
      <c r="D113" s="166">
        <v>541</v>
      </c>
      <c r="E113" s="166" t="s">
        <v>1102</v>
      </c>
      <c r="F113" s="166">
        <v>751.44065116284287</v>
      </c>
    </row>
    <row r="114" spans="1:6">
      <c r="A114" s="403">
        <v>1006</v>
      </c>
      <c r="B114" s="403">
        <v>63</v>
      </c>
      <c r="C114" s="166">
        <v>642</v>
      </c>
      <c r="D114" s="166">
        <v>541</v>
      </c>
      <c r="E114" s="166" t="s">
        <v>1102</v>
      </c>
      <c r="F114" s="166">
        <v>751.44065116284287</v>
      </c>
    </row>
    <row r="115" spans="1:6">
      <c r="A115" s="403">
        <v>1007</v>
      </c>
      <c r="B115" s="403">
        <v>63</v>
      </c>
      <c r="C115" s="166">
        <v>642</v>
      </c>
      <c r="D115" s="166">
        <v>541</v>
      </c>
      <c r="E115" s="166" t="s">
        <v>1102</v>
      </c>
      <c r="F115" s="166">
        <v>751.44065116284287</v>
      </c>
    </row>
    <row r="116" spans="1:6">
      <c r="A116" s="403">
        <v>1008</v>
      </c>
      <c r="B116" s="403">
        <v>63</v>
      </c>
      <c r="C116" s="166">
        <v>642</v>
      </c>
      <c r="D116" s="166">
        <v>541</v>
      </c>
      <c r="E116" s="166" t="s">
        <v>1102</v>
      </c>
      <c r="F116" s="166">
        <v>751.44065116284287</v>
      </c>
    </row>
    <row r="117" spans="1:6">
      <c r="A117" s="403">
        <v>1009</v>
      </c>
      <c r="B117" s="403">
        <v>63</v>
      </c>
      <c r="C117" s="166">
        <v>642</v>
      </c>
      <c r="D117" s="166">
        <v>541</v>
      </c>
      <c r="E117" s="166" t="s">
        <v>1102</v>
      </c>
      <c r="F117" s="166">
        <v>751.44065116284287</v>
      </c>
    </row>
    <row r="118" spans="1:6">
      <c r="A118" s="403">
        <v>1010</v>
      </c>
      <c r="B118" s="403">
        <v>63</v>
      </c>
      <c r="C118" s="166">
        <v>642</v>
      </c>
      <c r="D118" s="166">
        <v>541</v>
      </c>
      <c r="E118" s="166" t="s">
        <v>1102</v>
      </c>
      <c r="F118" s="166">
        <v>751.44065116284287</v>
      </c>
    </row>
    <row r="119" spans="1:6">
      <c r="A119" s="403">
        <v>1011</v>
      </c>
      <c r="B119" s="403">
        <v>63</v>
      </c>
      <c r="C119" s="166">
        <v>642</v>
      </c>
      <c r="D119" s="166">
        <v>541</v>
      </c>
      <c r="E119" s="166" t="s">
        <v>1102</v>
      </c>
      <c r="F119" s="166">
        <v>751.44065116284287</v>
      </c>
    </row>
    <row r="120" spans="1:6">
      <c r="A120" s="403">
        <v>1012</v>
      </c>
      <c r="B120" s="403">
        <v>63</v>
      </c>
      <c r="C120" s="166">
        <v>642</v>
      </c>
      <c r="D120" s="166">
        <v>541</v>
      </c>
      <c r="E120" s="166" t="s">
        <v>1102</v>
      </c>
      <c r="F120" s="166">
        <v>751.44065116284287</v>
      </c>
    </row>
    <row r="121" spans="1:6">
      <c r="A121" s="403">
        <v>1013</v>
      </c>
      <c r="B121" s="403">
        <v>63</v>
      </c>
      <c r="C121" s="166">
        <v>642</v>
      </c>
      <c r="D121" s="166">
        <v>541</v>
      </c>
      <c r="E121" s="166" t="s">
        <v>1102</v>
      </c>
      <c r="F121" s="166">
        <v>751.44065116284287</v>
      </c>
    </row>
    <row r="122" spans="1:6">
      <c r="A122" s="403">
        <v>1015</v>
      </c>
      <c r="B122" s="403">
        <v>63</v>
      </c>
      <c r="C122" s="166">
        <v>642</v>
      </c>
      <c r="D122" s="166">
        <v>541</v>
      </c>
      <c r="E122" s="166" t="s">
        <v>1102</v>
      </c>
      <c r="F122" s="166">
        <v>751.44065116284287</v>
      </c>
    </row>
    <row r="123" spans="1:6">
      <c r="A123" s="403">
        <v>1016</v>
      </c>
      <c r="B123" s="403">
        <v>63</v>
      </c>
      <c r="C123" s="166">
        <v>642</v>
      </c>
      <c r="D123" s="166">
        <v>541</v>
      </c>
      <c r="E123" s="166" t="s">
        <v>1102</v>
      </c>
      <c r="F123" s="166">
        <v>751.44065116284287</v>
      </c>
    </row>
    <row r="124" spans="1:6">
      <c r="A124" s="403">
        <v>1017</v>
      </c>
      <c r="B124" s="403">
        <v>63</v>
      </c>
      <c r="C124" s="166">
        <v>642</v>
      </c>
      <c r="D124" s="166">
        <v>541</v>
      </c>
      <c r="E124" s="166" t="s">
        <v>1102</v>
      </c>
      <c r="F124" s="166">
        <v>751.44065116284287</v>
      </c>
    </row>
    <row r="125" spans="1:6">
      <c r="A125" s="403">
        <v>1018</v>
      </c>
      <c r="B125" s="403">
        <v>63</v>
      </c>
      <c r="C125" s="166">
        <v>642</v>
      </c>
      <c r="D125" s="166">
        <v>541</v>
      </c>
      <c r="E125" s="166" t="s">
        <v>1102</v>
      </c>
      <c r="F125" s="166">
        <v>751.44065116284287</v>
      </c>
    </row>
    <row r="126" spans="1:6">
      <c r="A126" s="403">
        <v>1019</v>
      </c>
      <c r="B126" s="403">
        <v>63</v>
      </c>
      <c r="C126" s="166">
        <v>642</v>
      </c>
      <c r="D126" s="166">
        <v>541</v>
      </c>
      <c r="E126" s="166" t="s">
        <v>1102</v>
      </c>
      <c r="F126" s="166">
        <v>751.44065116284287</v>
      </c>
    </row>
    <row r="127" spans="1:6">
      <c r="A127" s="403">
        <v>1020</v>
      </c>
      <c r="B127" s="403">
        <v>63</v>
      </c>
      <c r="C127" s="166">
        <v>642</v>
      </c>
      <c r="D127" s="166">
        <v>541</v>
      </c>
      <c r="E127" s="166" t="s">
        <v>1102</v>
      </c>
      <c r="F127" s="166">
        <v>751.44065116284287</v>
      </c>
    </row>
    <row r="128" spans="1:6">
      <c r="A128" s="403">
        <v>1021</v>
      </c>
      <c r="B128" s="403">
        <v>63</v>
      </c>
      <c r="C128" s="166">
        <v>642</v>
      </c>
      <c r="D128" s="166">
        <v>541</v>
      </c>
      <c r="E128" s="166" t="s">
        <v>1102</v>
      </c>
      <c r="F128" s="166">
        <v>751.44065116284287</v>
      </c>
    </row>
    <row r="129" spans="1:6">
      <c r="A129" s="403">
        <v>1022</v>
      </c>
      <c r="B129" s="403">
        <v>63</v>
      </c>
      <c r="C129" s="166">
        <v>642</v>
      </c>
      <c r="D129" s="166">
        <v>541</v>
      </c>
      <c r="E129" s="166" t="s">
        <v>1102</v>
      </c>
      <c r="F129" s="166">
        <v>751.44065116284287</v>
      </c>
    </row>
    <row r="130" spans="1:6">
      <c r="A130" s="403">
        <v>1023</v>
      </c>
      <c r="B130" s="403">
        <v>63</v>
      </c>
      <c r="C130" s="166">
        <v>642</v>
      </c>
      <c r="D130" s="166">
        <v>541</v>
      </c>
      <c r="E130" s="166" t="s">
        <v>1102</v>
      </c>
      <c r="F130" s="166">
        <v>751.44065116284287</v>
      </c>
    </row>
    <row r="131" spans="1:6">
      <c r="A131" s="403">
        <v>1024</v>
      </c>
      <c r="B131" s="403">
        <v>63</v>
      </c>
      <c r="C131" s="166">
        <v>642</v>
      </c>
      <c r="D131" s="166">
        <v>541</v>
      </c>
      <c r="E131" s="166" t="s">
        <v>1102</v>
      </c>
      <c r="F131" s="166">
        <v>751.44065116284287</v>
      </c>
    </row>
    <row r="132" spans="1:6">
      <c r="A132" s="403">
        <v>1025</v>
      </c>
      <c r="B132" s="403">
        <v>63</v>
      </c>
      <c r="C132" s="166">
        <v>642</v>
      </c>
      <c r="D132" s="166">
        <v>541</v>
      </c>
      <c r="E132" s="166" t="s">
        <v>1102</v>
      </c>
      <c r="F132" s="166">
        <v>751.44065116284287</v>
      </c>
    </row>
    <row r="133" spans="1:6">
      <c r="A133" s="403">
        <v>1026</v>
      </c>
      <c r="B133" s="403">
        <v>63</v>
      </c>
      <c r="C133" s="166">
        <v>642</v>
      </c>
      <c r="D133" s="166">
        <v>541</v>
      </c>
      <c r="E133" s="166" t="s">
        <v>1102</v>
      </c>
      <c r="F133" s="166">
        <v>751.44065116284287</v>
      </c>
    </row>
    <row r="134" spans="1:6">
      <c r="A134" s="403">
        <v>1027</v>
      </c>
      <c r="B134" s="403">
        <v>63</v>
      </c>
      <c r="C134" s="166">
        <v>642</v>
      </c>
      <c r="D134" s="166">
        <v>541</v>
      </c>
      <c r="E134" s="166" t="s">
        <v>1102</v>
      </c>
      <c r="F134" s="166">
        <v>751.44065116284287</v>
      </c>
    </row>
    <row r="135" spans="1:6">
      <c r="A135" s="403">
        <v>1028</v>
      </c>
      <c r="B135" s="403">
        <v>63</v>
      </c>
      <c r="C135" s="166">
        <v>642</v>
      </c>
      <c r="D135" s="166">
        <v>541</v>
      </c>
      <c r="E135" s="166" t="s">
        <v>1102</v>
      </c>
      <c r="F135" s="166">
        <v>751.44065116284287</v>
      </c>
    </row>
    <row r="136" spans="1:6">
      <c r="A136" s="403">
        <v>1029</v>
      </c>
      <c r="B136" s="403">
        <v>63</v>
      </c>
      <c r="C136" s="166">
        <v>642</v>
      </c>
      <c r="D136" s="166">
        <v>541</v>
      </c>
      <c r="E136" s="166" t="s">
        <v>1102</v>
      </c>
      <c r="F136" s="166">
        <v>751.44065116284287</v>
      </c>
    </row>
    <row r="137" spans="1:6">
      <c r="A137" s="403">
        <v>1030</v>
      </c>
      <c r="B137" s="403">
        <v>63</v>
      </c>
      <c r="C137" s="166">
        <v>642</v>
      </c>
      <c r="D137" s="166">
        <v>541</v>
      </c>
      <c r="E137" s="166" t="s">
        <v>1102</v>
      </c>
      <c r="F137" s="166">
        <v>751.44065116284287</v>
      </c>
    </row>
    <row r="138" spans="1:6">
      <c r="A138" s="403">
        <v>1031</v>
      </c>
      <c r="B138" s="403">
        <v>63</v>
      </c>
      <c r="C138" s="166">
        <v>642</v>
      </c>
      <c r="D138" s="166">
        <v>541</v>
      </c>
      <c r="E138" s="166" t="s">
        <v>1102</v>
      </c>
      <c r="F138" s="166">
        <v>751.44065116284287</v>
      </c>
    </row>
    <row r="139" spans="1:6">
      <c r="A139" s="403">
        <v>1032</v>
      </c>
      <c r="B139" s="403">
        <v>63</v>
      </c>
      <c r="C139" s="166">
        <v>642</v>
      </c>
      <c r="D139" s="166">
        <v>541</v>
      </c>
      <c r="E139" s="166" t="s">
        <v>1102</v>
      </c>
      <c r="F139" s="166">
        <v>751.44065116284287</v>
      </c>
    </row>
    <row r="140" spans="1:6">
      <c r="A140" s="403">
        <v>1033</v>
      </c>
      <c r="B140" s="403">
        <v>63</v>
      </c>
      <c r="C140" s="166">
        <v>642</v>
      </c>
      <c r="D140" s="166">
        <v>541</v>
      </c>
      <c r="E140" s="166" t="s">
        <v>1102</v>
      </c>
      <c r="F140" s="166">
        <v>751.44065116284287</v>
      </c>
    </row>
    <row r="141" spans="1:6">
      <c r="A141" s="403">
        <v>1034</v>
      </c>
      <c r="B141" s="403">
        <v>63</v>
      </c>
      <c r="C141" s="166">
        <v>642</v>
      </c>
      <c r="D141" s="166">
        <v>541</v>
      </c>
      <c r="E141" s="166" t="s">
        <v>1102</v>
      </c>
      <c r="F141" s="166">
        <v>751.44065116284287</v>
      </c>
    </row>
    <row r="142" spans="1:6">
      <c r="A142" s="403">
        <v>1035</v>
      </c>
      <c r="B142" s="403">
        <v>63</v>
      </c>
      <c r="C142" s="166">
        <v>642</v>
      </c>
      <c r="D142" s="166">
        <v>541</v>
      </c>
      <c r="E142" s="166" t="s">
        <v>1102</v>
      </c>
      <c r="F142" s="166">
        <v>751.44065116284287</v>
      </c>
    </row>
    <row r="143" spans="1:6">
      <c r="A143" s="403">
        <v>1036</v>
      </c>
      <c r="B143" s="403">
        <v>63</v>
      </c>
      <c r="C143" s="166">
        <v>642</v>
      </c>
      <c r="D143" s="166">
        <v>541</v>
      </c>
      <c r="E143" s="166" t="s">
        <v>1102</v>
      </c>
      <c r="F143" s="166">
        <v>751.44065116284287</v>
      </c>
    </row>
    <row r="144" spans="1:6">
      <c r="A144" s="403">
        <v>1037</v>
      </c>
      <c r="B144" s="403">
        <v>63</v>
      </c>
      <c r="C144" s="166">
        <v>642</v>
      </c>
      <c r="D144" s="166">
        <v>541</v>
      </c>
      <c r="E144" s="166" t="s">
        <v>1102</v>
      </c>
      <c r="F144" s="166">
        <v>751.44065116284287</v>
      </c>
    </row>
    <row r="145" spans="1:6">
      <c r="A145" s="403">
        <v>1038</v>
      </c>
      <c r="B145" s="403">
        <v>63</v>
      </c>
      <c r="C145" s="166">
        <v>642</v>
      </c>
      <c r="D145" s="166">
        <v>541</v>
      </c>
      <c r="E145" s="166" t="s">
        <v>1102</v>
      </c>
      <c r="F145" s="166">
        <v>751.44065116284287</v>
      </c>
    </row>
    <row r="146" spans="1:6">
      <c r="A146" s="403">
        <v>1039</v>
      </c>
      <c r="B146" s="403">
        <v>63</v>
      </c>
      <c r="C146" s="166">
        <v>642</v>
      </c>
      <c r="D146" s="166">
        <v>541</v>
      </c>
      <c r="E146" s="166" t="s">
        <v>1102</v>
      </c>
      <c r="F146" s="166">
        <v>751.44065116284287</v>
      </c>
    </row>
    <row r="147" spans="1:6">
      <c r="A147" s="403">
        <v>1040</v>
      </c>
      <c r="B147" s="403">
        <v>63</v>
      </c>
      <c r="C147" s="166">
        <v>642</v>
      </c>
      <c r="D147" s="166">
        <v>541</v>
      </c>
      <c r="E147" s="166" t="s">
        <v>1102</v>
      </c>
      <c r="F147" s="166">
        <v>751.44065116284287</v>
      </c>
    </row>
    <row r="148" spans="1:6">
      <c r="A148" s="403">
        <v>1041</v>
      </c>
      <c r="B148" s="403">
        <v>63</v>
      </c>
      <c r="C148" s="166">
        <v>642</v>
      </c>
      <c r="D148" s="166">
        <v>541</v>
      </c>
      <c r="E148" s="166" t="s">
        <v>1102</v>
      </c>
      <c r="F148" s="166">
        <v>751.44065116284287</v>
      </c>
    </row>
    <row r="149" spans="1:6">
      <c r="A149" s="403">
        <v>1042</v>
      </c>
      <c r="B149" s="403">
        <v>63</v>
      </c>
      <c r="C149" s="166">
        <v>642</v>
      </c>
      <c r="D149" s="166">
        <v>541</v>
      </c>
      <c r="E149" s="166" t="s">
        <v>1102</v>
      </c>
      <c r="F149" s="166">
        <v>751.44065116284287</v>
      </c>
    </row>
    <row r="150" spans="1:6">
      <c r="A150" s="403">
        <v>1043</v>
      </c>
      <c r="B150" s="403">
        <v>63</v>
      </c>
      <c r="C150" s="166">
        <v>642</v>
      </c>
      <c r="D150" s="166">
        <v>541</v>
      </c>
      <c r="E150" s="166" t="s">
        <v>1102</v>
      </c>
      <c r="F150" s="166">
        <v>751.44065116284287</v>
      </c>
    </row>
    <row r="151" spans="1:6">
      <c r="A151" s="403">
        <v>1044</v>
      </c>
      <c r="B151" s="403">
        <v>63</v>
      </c>
      <c r="C151" s="166">
        <v>642</v>
      </c>
      <c r="D151" s="166">
        <v>541</v>
      </c>
      <c r="E151" s="166" t="s">
        <v>1102</v>
      </c>
      <c r="F151" s="166">
        <v>751.44065116284287</v>
      </c>
    </row>
    <row r="152" spans="1:6">
      <c r="A152" s="403">
        <v>1045</v>
      </c>
      <c r="B152" s="403">
        <v>63</v>
      </c>
      <c r="C152" s="166">
        <v>642</v>
      </c>
      <c r="D152" s="166">
        <v>541</v>
      </c>
      <c r="E152" s="166" t="s">
        <v>1102</v>
      </c>
      <c r="F152" s="166">
        <v>751.44065116284287</v>
      </c>
    </row>
    <row r="153" spans="1:6">
      <c r="A153" s="403">
        <v>1046</v>
      </c>
      <c r="B153" s="403">
        <v>63</v>
      </c>
      <c r="C153" s="166">
        <v>642</v>
      </c>
      <c r="D153" s="166">
        <v>541</v>
      </c>
      <c r="E153" s="166" t="s">
        <v>1102</v>
      </c>
      <c r="F153" s="166">
        <v>751.44065116284287</v>
      </c>
    </row>
    <row r="154" spans="1:6">
      <c r="A154" s="403">
        <v>1047</v>
      </c>
      <c r="B154" s="403">
        <v>63</v>
      </c>
      <c r="C154" s="166">
        <v>642</v>
      </c>
      <c r="D154" s="166">
        <v>541</v>
      </c>
      <c r="E154" s="166" t="s">
        <v>1102</v>
      </c>
      <c r="F154" s="166">
        <v>751.44065116284287</v>
      </c>
    </row>
    <row r="155" spans="1:6">
      <c r="A155" s="403">
        <v>1048</v>
      </c>
      <c r="B155" s="403">
        <v>63</v>
      </c>
      <c r="C155" s="166">
        <v>642</v>
      </c>
      <c r="D155" s="166">
        <v>541</v>
      </c>
      <c r="E155" s="166" t="s">
        <v>1102</v>
      </c>
      <c r="F155" s="166">
        <v>751.44065116284287</v>
      </c>
    </row>
    <row r="156" spans="1:6">
      <c r="A156" s="403">
        <v>1049</v>
      </c>
      <c r="B156" s="403">
        <v>63</v>
      </c>
      <c r="C156" s="166">
        <v>642</v>
      </c>
      <c r="D156" s="166">
        <v>541</v>
      </c>
      <c r="E156" s="166" t="s">
        <v>1102</v>
      </c>
      <c r="F156" s="166">
        <v>751.44065116284287</v>
      </c>
    </row>
    <row r="157" spans="1:6">
      <c r="A157" s="403">
        <v>1050</v>
      </c>
      <c r="B157" s="403">
        <v>63</v>
      </c>
      <c r="C157" s="166">
        <v>642</v>
      </c>
      <c r="D157" s="166">
        <v>541</v>
      </c>
      <c r="E157" s="166" t="s">
        <v>1102</v>
      </c>
      <c r="F157" s="166">
        <v>751.44065116284287</v>
      </c>
    </row>
    <row r="158" spans="1:6">
      <c r="A158" s="403">
        <v>1051</v>
      </c>
      <c r="B158" s="403">
        <v>63</v>
      </c>
      <c r="C158" s="166">
        <v>642</v>
      </c>
      <c r="D158" s="166">
        <v>541</v>
      </c>
      <c r="E158" s="166" t="s">
        <v>1102</v>
      </c>
      <c r="F158" s="166">
        <v>751.44065116284287</v>
      </c>
    </row>
    <row r="159" spans="1:6">
      <c r="A159" s="403">
        <v>1052</v>
      </c>
      <c r="B159" s="403">
        <v>63</v>
      </c>
      <c r="C159" s="166">
        <v>642</v>
      </c>
      <c r="D159" s="166">
        <v>541</v>
      </c>
      <c r="E159" s="166" t="s">
        <v>1102</v>
      </c>
      <c r="F159" s="166">
        <v>751.44065116284287</v>
      </c>
    </row>
    <row r="160" spans="1:6">
      <c r="A160" s="403">
        <v>1053</v>
      </c>
      <c r="B160" s="403">
        <v>63</v>
      </c>
      <c r="C160" s="166">
        <v>642</v>
      </c>
      <c r="D160" s="166">
        <v>541</v>
      </c>
      <c r="E160" s="166" t="s">
        <v>1102</v>
      </c>
      <c r="F160" s="166">
        <v>751.44065116284287</v>
      </c>
    </row>
    <row r="161" spans="1:6">
      <c r="A161" s="403">
        <v>1054</v>
      </c>
      <c r="B161" s="403">
        <v>63</v>
      </c>
      <c r="C161" s="166">
        <v>642</v>
      </c>
      <c r="D161" s="166">
        <v>541</v>
      </c>
      <c r="E161" s="166" t="s">
        <v>1102</v>
      </c>
      <c r="F161" s="166">
        <v>751.44065116284287</v>
      </c>
    </row>
    <row r="162" spans="1:6">
      <c r="A162" s="403">
        <v>1055</v>
      </c>
      <c r="B162" s="403">
        <v>63</v>
      </c>
      <c r="C162" s="166">
        <v>642</v>
      </c>
      <c r="D162" s="166">
        <v>541</v>
      </c>
      <c r="E162" s="166" t="s">
        <v>1102</v>
      </c>
      <c r="F162" s="166">
        <v>751.44065116284287</v>
      </c>
    </row>
    <row r="163" spans="1:6">
      <c r="A163" s="403">
        <v>1056</v>
      </c>
      <c r="B163" s="403">
        <v>63</v>
      </c>
      <c r="C163" s="166">
        <v>642</v>
      </c>
      <c r="D163" s="166">
        <v>541</v>
      </c>
      <c r="E163" s="166" t="s">
        <v>1102</v>
      </c>
      <c r="F163" s="166">
        <v>751.44065116284287</v>
      </c>
    </row>
    <row r="164" spans="1:6">
      <c r="A164" s="403">
        <v>1057</v>
      </c>
      <c r="B164" s="403">
        <v>63</v>
      </c>
      <c r="C164" s="166">
        <v>642</v>
      </c>
      <c r="D164" s="166">
        <v>541</v>
      </c>
      <c r="E164" s="166" t="s">
        <v>1102</v>
      </c>
      <c r="F164" s="166">
        <v>751.44065116284287</v>
      </c>
    </row>
    <row r="165" spans="1:6">
      <c r="A165" s="403">
        <v>1058</v>
      </c>
      <c r="B165" s="403">
        <v>63</v>
      </c>
      <c r="C165" s="166">
        <v>642</v>
      </c>
      <c r="D165" s="166">
        <v>541</v>
      </c>
      <c r="E165" s="166" t="s">
        <v>1102</v>
      </c>
      <c r="F165" s="166">
        <v>751.44065116284287</v>
      </c>
    </row>
    <row r="166" spans="1:6">
      <c r="A166" s="403">
        <v>1059</v>
      </c>
      <c r="B166" s="403">
        <v>63</v>
      </c>
      <c r="C166" s="166">
        <v>642</v>
      </c>
      <c r="D166" s="166">
        <v>541</v>
      </c>
      <c r="E166" s="166" t="s">
        <v>1102</v>
      </c>
      <c r="F166" s="166">
        <v>751.44065116284287</v>
      </c>
    </row>
    <row r="167" spans="1:6">
      <c r="A167" s="403">
        <v>1060</v>
      </c>
      <c r="B167" s="403">
        <v>63</v>
      </c>
      <c r="C167" s="166">
        <v>642</v>
      </c>
      <c r="D167" s="166">
        <v>541</v>
      </c>
      <c r="E167" s="166" t="s">
        <v>1102</v>
      </c>
      <c r="F167" s="166">
        <v>751.44065116284287</v>
      </c>
    </row>
    <row r="168" spans="1:6">
      <c r="A168" s="403">
        <v>1061</v>
      </c>
      <c r="B168" s="403">
        <v>63</v>
      </c>
      <c r="C168" s="166">
        <v>642</v>
      </c>
      <c r="D168" s="166">
        <v>541</v>
      </c>
      <c r="E168" s="166" t="s">
        <v>1102</v>
      </c>
      <c r="F168" s="166">
        <v>751.44065116284287</v>
      </c>
    </row>
    <row r="169" spans="1:6">
      <c r="A169" s="403">
        <v>1062</v>
      </c>
      <c r="B169" s="403">
        <v>63</v>
      </c>
      <c r="C169" s="166">
        <v>642</v>
      </c>
      <c r="D169" s="166">
        <v>541</v>
      </c>
      <c r="E169" s="166" t="s">
        <v>1102</v>
      </c>
      <c r="F169" s="166">
        <v>751.44065116284287</v>
      </c>
    </row>
    <row r="170" spans="1:6">
      <c r="A170" s="403">
        <v>1063</v>
      </c>
      <c r="B170" s="403">
        <v>63</v>
      </c>
      <c r="C170" s="166">
        <v>642</v>
      </c>
      <c r="D170" s="166">
        <v>541</v>
      </c>
      <c r="E170" s="166" t="s">
        <v>1102</v>
      </c>
      <c r="F170" s="166">
        <v>751.44065116284287</v>
      </c>
    </row>
    <row r="171" spans="1:6">
      <c r="A171" s="403">
        <v>1064</v>
      </c>
      <c r="B171" s="403">
        <v>63</v>
      </c>
      <c r="C171" s="166">
        <v>642</v>
      </c>
      <c r="D171" s="166">
        <v>541</v>
      </c>
      <c r="E171" s="166" t="s">
        <v>1102</v>
      </c>
      <c r="F171" s="166">
        <v>751.44065116284287</v>
      </c>
    </row>
    <row r="172" spans="1:6">
      <c r="A172" s="403">
        <v>1065</v>
      </c>
      <c r="B172" s="403">
        <v>63</v>
      </c>
      <c r="C172" s="166">
        <v>642</v>
      </c>
      <c r="D172" s="166">
        <v>541</v>
      </c>
      <c r="E172" s="166" t="s">
        <v>1102</v>
      </c>
      <c r="F172" s="166">
        <v>751.44065116284287</v>
      </c>
    </row>
    <row r="173" spans="1:6">
      <c r="A173" s="403">
        <v>1066</v>
      </c>
      <c r="B173" s="403">
        <v>63</v>
      </c>
      <c r="C173" s="166">
        <v>642</v>
      </c>
      <c r="D173" s="166">
        <v>541</v>
      </c>
      <c r="E173" s="166" t="s">
        <v>1102</v>
      </c>
      <c r="F173" s="166">
        <v>751.44065116284287</v>
      </c>
    </row>
    <row r="174" spans="1:6">
      <c r="A174" s="403">
        <v>1067</v>
      </c>
      <c r="B174" s="403">
        <v>63</v>
      </c>
      <c r="C174" s="166">
        <v>642</v>
      </c>
      <c r="D174" s="166">
        <v>541</v>
      </c>
      <c r="E174" s="166" t="s">
        <v>1102</v>
      </c>
      <c r="F174" s="166">
        <v>751.44065116284287</v>
      </c>
    </row>
    <row r="175" spans="1:6">
      <c r="A175" s="403">
        <v>1068</v>
      </c>
      <c r="B175" s="403">
        <v>63</v>
      </c>
      <c r="C175" s="166">
        <v>642</v>
      </c>
      <c r="D175" s="166">
        <v>541</v>
      </c>
      <c r="E175" s="166" t="s">
        <v>1102</v>
      </c>
      <c r="F175" s="166">
        <v>751.44065116284287</v>
      </c>
    </row>
    <row r="176" spans="1:6">
      <c r="A176" s="403">
        <v>1069</v>
      </c>
      <c r="B176" s="403">
        <v>63</v>
      </c>
      <c r="C176" s="166">
        <v>642</v>
      </c>
      <c r="D176" s="166">
        <v>541</v>
      </c>
      <c r="E176" s="166" t="s">
        <v>1102</v>
      </c>
      <c r="F176" s="166">
        <v>751.44065116284287</v>
      </c>
    </row>
    <row r="177" spans="1:6">
      <c r="A177" s="403">
        <v>1070</v>
      </c>
      <c r="B177" s="403">
        <v>63</v>
      </c>
      <c r="C177" s="166">
        <v>642</v>
      </c>
      <c r="D177" s="166">
        <v>541</v>
      </c>
      <c r="E177" s="166" t="s">
        <v>1102</v>
      </c>
      <c r="F177" s="166">
        <v>751.44065116284287</v>
      </c>
    </row>
    <row r="178" spans="1:6">
      <c r="A178" s="403">
        <v>1071</v>
      </c>
      <c r="B178" s="403">
        <v>63</v>
      </c>
      <c r="C178" s="166">
        <v>642</v>
      </c>
      <c r="D178" s="166">
        <v>541</v>
      </c>
      <c r="E178" s="166" t="s">
        <v>1102</v>
      </c>
      <c r="F178" s="166">
        <v>751.44065116284287</v>
      </c>
    </row>
    <row r="179" spans="1:6">
      <c r="A179" s="403">
        <v>1072</v>
      </c>
      <c r="B179" s="403">
        <v>63</v>
      </c>
      <c r="C179" s="166">
        <v>642</v>
      </c>
      <c r="D179" s="166">
        <v>541</v>
      </c>
      <c r="E179" s="166" t="s">
        <v>1102</v>
      </c>
      <c r="F179" s="166">
        <v>751.44065116284287</v>
      </c>
    </row>
    <row r="180" spans="1:6">
      <c r="A180" s="403">
        <v>1073</v>
      </c>
      <c r="B180" s="403">
        <v>63</v>
      </c>
      <c r="C180" s="166">
        <v>642</v>
      </c>
      <c r="D180" s="166">
        <v>541</v>
      </c>
      <c r="E180" s="166" t="s">
        <v>1102</v>
      </c>
      <c r="F180" s="166">
        <v>751.44065116284287</v>
      </c>
    </row>
    <row r="181" spans="1:6">
      <c r="A181" s="403">
        <v>1074</v>
      </c>
      <c r="B181" s="403">
        <v>63</v>
      </c>
      <c r="C181" s="166">
        <v>642</v>
      </c>
      <c r="D181" s="166">
        <v>541</v>
      </c>
      <c r="E181" s="166" t="s">
        <v>1102</v>
      </c>
      <c r="F181" s="166">
        <v>751.44065116284287</v>
      </c>
    </row>
    <row r="182" spans="1:6">
      <c r="A182" s="403">
        <v>1075</v>
      </c>
      <c r="B182" s="403">
        <v>63</v>
      </c>
      <c r="C182" s="166">
        <v>642</v>
      </c>
      <c r="D182" s="166">
        <v>541</v>
      </c>
      <c r="E182" s="166" t="s">
        <v>1102</v>
      </c>
      <c r="F182" s="166">
        <v>751.44065116284287</v>
      </c>
    </row>
    <row r="183" spans="1:6">
      <c r="A183" s="403">
        <v>1076</v>
      </c>
      <c r="B183" s="403">
        <v>63</v>
      </c>
      <c r="C183" s="166">
        <v>642</v>
      </c>
      <c r="D183" s="166">
        <v>541</v>
      </c>
      <c r="E183" s="166" t="s">
        <v>1102</v>
      </c>
      <c r="F183" s="166">
        <v>751.44065116284287</v>
      </c>
    </row>
    <row r="184" spans="1:6">
      <c r="A184" s="403">
        <v>1077</v>
      </c>
      <c r="B184" s="403">
        <v>63</v>
      </c>
      <c r="C184" s="166">
        <v>642</v>
      </c>
      <c r="D184" s="166">
        <v>541</v>
      </c>
      <c r="E184" s="166" t="s">
        <v>1102</v>
      </c>
      <c r="F184" s="166">
        <v>751.44065116284287</v>
      </c>
    </row>
    <row r="185" spans="1:6">
      <c r="A185" s="403">
        <v>1078</v>
      </c>
      <c r="B185" s="403">
        <v>63</v>
      </c>
      <c r="C185" s="166">
        <v>642</v>
      </c>
      <c r="D185" s="166">
        <v>541</v>
      </c>
      <c r="E185" s="166" t="s">
        <v>1102</v>
      </c>
      <c r="F185" s="166">
        <v>751.44065116284287</v>
      </c>
    </row>
    <row r="186" spans="1:6">
      <c r="A186" s="403">
        <v>1079</v>
      </c>
      <c r="B186" s="403">
        <v>63</v>
      </c>
      <c r="C186" s="166">
        <v>642</v>
      </c>
      <c r="D186" s="166">
        <v>541</v>
      </c>
      <c r="E186" s="166" t="s">
        <v>1102</v>
      </c>
      <c r="F186" s="166">
        <v>751.44065116284287</v>
      </c>
    </row>
    <row r="187" spans="1:6">
      <c r="A187" s="403">
        <v>1080</v>
      </c>
      <c r="B187" s="403">
        <v>63</v>
      </c>
      <c r="C187" s="166">
        <v>642</v>
      </c>
      <c r="D187" s="166">
        <v>541</v>
      </c>
      <c r="E187" s="166" t="s">
        <v>1102</v>
      </c>
      <c r="F187" s="166">
        <v>751.44065116284287</v>
      </c>
    </row>
    <row r="188" spans="1:6">
      <c r="A188" s="403">
        <v>1081</v>
      </c>
      <c r="B188" s="403">
        <v>63</v>
      </c>
      <c r="C188" s="166">
        <v>642</v>
      </c>
      <c r="D188" s="166">
        <v>541</v>
      </c>
      <c r="E188" s="166" t="s">
        <v>1102</v>
      </c>
      <c r="F188" s="166">
        <v>751.44065116284287</v>
      </c>
    </row>
    <row r="189" spans="1:6">
      <c r="A189" s="403">
        <v>1082</v>
      </c>
      <c r="B189" s="403">
        <v>63</v>
      </c>
      <c r="C189" s="166">
        <v>642</v>
      </c>
      <c r="D189" s="166">
        <v>541</v>
      </c>
      <c r="E189" s="166" t="s">
        <v>1102</v>
      </c>
      <c r="F189" s="166">
        <v>751.44065116284287</v>
      </c>
    </row>
    <row r="190" spans="1:6">
      <c r="A190" s="403">
        <v>1083</v>
      </c>
      <c r="B190" s="403">
        <v>63</v>
      </c>
      <c r="C190" s="166">
        <v>642</v>
      </c>
      <c r="D190" s="166">
        <v>541</v>
      </c>
      <c r="E190" s="166" t="s">
        <v>1102</v>
      </c>
      <c r="F190" s="166">
        <v>751.44065116284287</v>
      </c>
    </row>
    <row r="191" spans="1:6">
      <c r="A191" s="403">
        <v>1084</v>
      </c>
      <c r="B191" s="403">
        <v>63</v>
      </c>
      <c r="C191" s="166">
        <v>642</v>
      </c>
      <c r="D191" s="166">
        <v>541</v>
      </c>
      <c r="E191" s="166" t="s">
        <v>1102</v>
      </c>
      <c r="F191" s="166">
        <v>751.44065116284287</v>
      </c>
    </row>
    <row r="192" spans="1:6">
      <c r="A192" s="403">
        <v>1085</v>
      </c>
      <c r="B192" s="403">
        <v>63</v>
      </c>
      <c r="C192" s="166">
        <v>642</v>
      </c>
      <c r="D192" s="166">
        <v>541</v>
      </c>
      <c r="E192" s="166" t="s">
        <v>1102</v>
      </c>
      <c r="F192" s="166">
        <v>751.44065116284287</v>
      </c>
    </row>
    <row r="193" spans="1:6">
      <c r="A193" s="403">
        <v>1086</v>
      </c>
      <c r="B193" s="403">
        <v>63</v>
      </c>
      <c r="C193" s="166">
        <v>642</v>
      </c>
      <c r="D193" s="166">
        <v>541</v>
      </c>
      <c r="E193" s="166" t="s">
        <v>1102</v>
      </c>
      <c r="F193" s="166">
        <v>751.44065116284287</v>
      </c>
    </row>
    <row r="194" spans="1:6">
      <c r="A194" s="403">
        <v>1087</v>
      </c>
      <c r="B194" s="403">
        <v>63</v>
      </c>
      <c r="C194" s="166">
        <v>642</v>
      </c>
      <c r="D194" s="166">
        <v>541</v>
      </c>
      <c r="E194" s="166" t="s">
        <v>1102</v>
      </c>
      <c r="F194" s="166">
        <v>751.44065116284287</v>
      </c>
    </row>
    <row r="195" spans="1:6">
      <c r="A195" s="403">
        <v>1088</v>
      </c>
      <c r="B195" s="403">
        <v>63</v>
      </c>
      <c r="C195" s="166">
        <v>642</v>
      </c>
      <c r="D195" s="166">
        <v>541</v>
      </c>
      <c r="E195" s="166" t="s">
        <v>1102</v>
      </c>
      <c r="F195" s="166">
        <v>751.44065116284287</v>
      </c>
    </row>
    <row r="196" spans="1:6">
      <c r="A196" s="403">
        <v>1089</v>
      </c>
      <c r="B196" s="403">
        <v>63</v>
      </c>
      <c r="C196" s="166">
        <v>642</v>
      </c>
      <c r="D196" s="166">
        <v>541</v>
      </c>
      <c r="E196" s="166" t="s">
        <v>1102</v>
      </c>
      <c r="F196" s="166">
        <v>751.44065116284287</v>
      </c>
    </row>
    <row r="197" spans="1:6">
      <c r="A197" s="403">
        <v>1090</v>
      </c>
      <c r="B197" s="403">
        <v>63</v>
      </c>
      <c r="C197" s="166">
        <v>642</v>
      </c>
      <c r="D197" s="166">
        <v>541</v>
      </c>
      <c r="E197" s="166" t="s">
        <v>1102</v>
      </c>
      <c r="F197" s="166">
        <v>751.44065116284287</v>
      </c>
    </row>
    <row r="198" spans="1:6">
      <c r="A198" s="403">
        <v>1091</v>
      </c>
      <c r="B198" s="403">
        <v>63</v>
      </c>
      <c r="C198" s="166">
        <v>642</v>
      </c>
      <c r="D198" s="166">
        <v>541</v>
      </c>
      <c r="E198" s="166" t="s">
        <v>1102</v>
      </c>
      <c r="F198" s="166">
        <v>751.44065116284287</v>
      </c>
    </row>
    <row r="199" spans="1:6">
      <c r="A199" s="403">
        <v>1092</v>
      </c>
      <c r="B199" s="403">
        <v>63</v>
      </c>
      <c r="C199" s="166">
        <v>642</v>
      </c>
      <c r="D199" s="166">
        <v>541</v>
      </c>
      <c r="E199" s="166" t="s">
        <v>1102</v>
      </c>
      <c r="F199" s="166">
        <v>751.44065116284287</v>
      </c>
    </row>
    <row r="200" spans="1:6">
      <c r="A200" s="403">
        <v>1093</v>
      </c>
      <c r="B200" s="403">
        <v>63</v>
      </c>
      <c r="C200" s="166">
        <v>642</v>
      </c>
      <c r="D200" s="166">
        <v>541</v>
      </c>
      <c r="E200" s="166" t="s">
        <v>1102</v>
      </c>
      <c r="F200" s="166">
        <v>751.44065116284287</v>
      </c>
    </row>
    <row r="201" spans="1:6">
      <c r="A201" s="403">
        <v>1094</v>
      </c>
      <c r="B201" s="403">
        <v>63</v>
      </c>
      <c r="C201" s="166">
        <v>642</v>
      </c>
      <c r="D201" s="166">
        <v>541</v>
      </c>
      <c r="E201" s="166" t="s">
        <v>1102</v>
      </c>
      <c r="F201" s="166">
        <v>751.44065116284287</v>
      </c>
    </row>
    <row r="202" spans="1:6">
      <c r="A202" s="403">
        <v>1095</v>
      </c>
      <c r="B202" s="403">
        <v>63</v>
      </c>
      <c r="C202" s="166">
        <v>642</v>
      </c>
      <c r="D202" s="166">
        <v>541</v>
      </c>
      <c r="E202" s="166" t="s">
        <v>1102</v>
      </c>
      <c r="F202" s="166">
        <v>751.44065116284287</v>
      </c>
    </row>
    <row r="203" spans="1:6">
      <c r="A203" s="403">
        <v>1096</v>
      </c>
      <c r="B203" s="403">
        <v>63</v>
      </c>
      <c r="C203" s="166">
        <v>642</v>
      </c>
      <c r="D203" s="166">
        <v>541</v>
      </c>
      <c r="E203" s="166" t="s">
        <v>1102</v>
      </c>
      <c r="F203" s="166">
        <v>751.44065116284287</v>
      </c>
    </row>
    <row r="204" spans="1:6">
      <c r="A204" s="403">
        <v>1097</v>
      </c>
      <c r="B204" s="403">
        <v>63</v>
      </c>
      <c r="C204" s="166">
        <v>642</v>
      </c>
      <c r="D204" s="166">
        <v>541</v>
      </c>
      <c r="E204" s="166" t="s">
        <v>1102</v>
      </c>
      <c r="F204" s="166">
        <v>751.44065116284287</v>
      </c>
    </row>
    <row r="205" spans="1:6">
      <c r="A205" s="403">
        <v>1098</v>
      </c>
      <c r="B205" s="403">
        <v>63</v>
      </c>
      <c r="C205" s="166">
        <v>642</v>
      </c>
      <c r="D205" s="166">
        <v>541</v>
      </c>
      <c r="E205" s="166" t="s">
        <v>1102</v>
      </c>
      <c r="F205" s="166">
        <v>751.44065116284287</v>
      </c>
    </row>
    <row r="206" spans="1:6">
      <c r="A206" s="403">
        <v>1099</v>
      </c>
      <c r="B206" s="403">
        <v>63</v>
      </c>
      <c r="C206" s="166">
        <v>642</v>
      </c>
      <c r="D206" s="166">
        <v>541</v>
      </c>
      <c r="E206" s="166" t="s">
        <v>1102</v>
      </c>
      <c r="F206" s="166">
        <v>751.44065116284287</v>
      </c>
    </row>
    <row r="207" spans="1:6">
      <c r="A207" s="403">
        <v>1100</v>
      </c>
      <c r="B207" s="403">
        <v>63</v>
      </c>
      <c r="C207" s="166">
        <v>642</v>
      </c>
      <c r="D207" s="166">
        <v>541</v>
      </c>
      <c r="E207" s="166" t="s">
        <v>1102</v>
      </c>
      <c r="F207" s="166">
        <v>751.44065116284287</v>
      </c>
    </row>
    <row r="208" spans="1:6">
      <c r="A208" s="403">
        <v>1101</v>
      </c>
      <c r="B208" s="403">
        <v>63</v>
      </c>
      <c r="C208" s="166">
        <v>642</v>
      </c>
      <c r="D208" s="166">
        <v>541</v>
      </c>
      <c r="E208" s="166" t="s">
        <v>1102</v>
      </c>
      <c r="F208" s="166">
        <v>751.44065116284287</v>
      </c>
    </row>
    <row r="209" spans="1:6">
      <c r="A209" s="403">
        <v>1102</v>
      </c>
      <c r="B209" s="403">
        <v>63</v>
      </c>
      <c r="C209" s="166">
        <v>642</v>
      </c>
      <c r="D209" s="166">
        <v>541</v>
      </c>
      <c r="E209" s="166" t="s">
        <v>1102</v>
      </c>
      <c r="F209" s="166">
        <v>751.44065116284287</v>
      </c>
    </row>
    <row r="210" spans="1:6">
      <c r="A210" s="403">
        <v>1103</v>
      </c>
      <c r="B210" s="403">
        <v>63</v>
      </c>
      <c r="C210" s="166">
        <v>642</v>
      </c>
      <c r="D210" s="166">
        <v>541</v>
      </c>
      <c r="E210" s="166" t="s">
        <v>1102</v>
      </c>
      <c r="F210" s="166">
        <v>751.44065116284287</v>
      </c>
    </row>
    <row r="211" spans="1:6">
      <c r="A211" s="403">
        <v>1104</v>
      </c>
      <c r="B211" s="403">
        <v>63</v>
      </c>
      <c r="C211" s="166">
        <v>642</v>
      </c>
      <c r="D211" s="166">
        <v>541</v>
      </c>
      <c r="E211" s="166" t="s">
        <v>1102</v>
      </c>
      <c r="F211" s="166">
        <v>751.44065116284287</v>
      </c>
    </row>
    <row r="212" spans="1:6">
      <c r="A212" s="403">
        <v>1105</v>
      </c>
      <c r="B212" s="403">
        <v>63</v>
      </c>
      <c r="C212" s="166">
        <v>642</v>
      </c>
      <c r="D212" s="166">
        <v>541</v>
      </c>
      <c r="E212" s="166" t="s">
        <v>1102</v>
      </c>
      <c r="F212" s="166">
        <v>751.44065116284287</v>
      </c>
    </row>
    <row r="213" spans="1:6">
      <c r="A213" s="403">
        <v>1106</v>
      </c>
      <c r="B213" s="403">
        <v>63</v>
      </c>
      <c r="C213" s="166">
        <v>642</v>
      </c>
      <c r="D213" s="166">
        <v>541</v>
      </c>
      <c r="E213" s="166" t="s">
        <v>1102</v>
      </c>
      <c r="F213" s="166">
        <v>751.44065116284287</v>
      </c>
    </row>
    <row r="214" spans="1:6">
      <c r="A214" s="403">
        <v>1107</v>
      </c>
      <c r="B214" s="403">
        <v>63</v>
      </c>
      <c r="C214" s="166">
        <v>642</v>
      </c>
      <c r="D214" s="166">
        <v>541</v>
      </c>
      <c r="E214" s="166" t="s">
        <v>1102</v>
      </c>
      <c r="F214" s="166">
        <v>751.44065116284287</v>
      </c>
    </row>
    <row r="215" spans="1:6">
      <c r="A215" s="403">
        <v>1108</v>
      </c>
      <c r="B215" s="403">
        <v>63</v>
      </c>
      <c r="C215" s="166">
        <v>642</v>
      </c>
      <c r="D215" s="166">
        <v>541</v>
      </c>
      <c r="E215" s="166" t="s">
        <v>1102</v>
      </c>
      <c r="F215" s="166">
        <v>751.44065116284287</v>
      </c>
    </row>
    <row r="216" spans="1:6">
      <c r="A216" s="403">
        <v>1109</v>
      </c>
      <c r="B216" s="403">
        <v>63</v>
      </c>
      <c r="C216" s="166">
        <v>642</v>
      </c>
      <c r="D216" s="166">
        <v>541</v>
      </c>
      <c r="E216" s="166" t="s">
        <v>1102</v>
      </c>
      <c r="F216" s="166">
        <v>751.44065116284287</v>
      </c>
    </row>
    <row r="217" spans="1:6">
      <c r="A217" s="403">
        <v>1110</v>
      </c>
      <c r="B217" s="403">
        <v>63</v>
      </c>
      <c r="C217" s="166">
        <v>642</v>
      </c>
      <c r="D217" s="166">
        <v>541</v>
      </c>
      <c r="E217" s="166" t="s">
        <v>1102</v>
      </c>
      <c r="F217" s="166">
        <v>751.44065116284287</v>
      </c>
    </row>
    <row r="218" spans="1:6">
      <c r="A218" s="403">
        <v>1112</v>
      </c>
      <c r="B218" s="403">
        <v>63</v>
      </c>
      <c r="C218" s="166">
        <v>642</v>
      </c>
      <c r="D218" s="166">
        <v>541</v>
      </c>
      <c r="E218" s="166" t="s">
        <v>1102</v>
      </c>
      <c r="F218" s="166">
        <v>751.44065116284287</v>
      </c>
    </row>
    <row r="219" spans="1:6">
      <c r="A219" s="403">
        <v>1113</v>
      </c>
      <c r="B219" s="403">
        <v>63</v>
      </c>
      <c r="C219" s="166">
        <v>642</v>
      </c>
      <c r="D219" s="166">
        <v>541</v>
      </c>
      <c r="E219" s="166" t="s">
        <v>1102</v>
      </c>
      <c r="F219" s="166">
        <v>751.44065116284287</v>
      </c>
    </row>
    <row r="220" spans="1:6">
      <c r="A220" s="403">
        <v>1114</v>
      </c>
      <c r="B220" s="403">
        <v>63</v>
      </c>
      <c r="C220" s="166">
        <v>642</v>
      </c>
      <c r="D220" s="166">
        <v>541</v>
      </c>
      <c r="E220" s="166" t="s">
        <v>1102</v>
      </c>
      <c r="F220" s="166">
        <v>751.44065116284287</v>
      </c>
    </row>
    <row r="221" spans="1:6">
      <c r="A221" s="403">
        <v>1115</v>
      </c>
      <c r="B221" s="403">
        <v>63</v>
      </c>
      <c r="C221" s="166">
        <v>642</v>
      </c>
      <c r="D221" s="166">
        <v>541</v>
      </c>
      <c r="E221" s="166" t="s">
        <v>1102</v>
      </c>
      <c r="F221" s="166">
        <v>751.44065116284287</v>
      </c>
    </row>
    <row r="222" spans="1:6">
      <c r="A222" s="403">
        <v>1116</v>
      </c>
      <c r="B222" s="403">
        <v>63</v>
      </c>
      <c r="C222" s="166">
        <v>642</v>
      </c>
      <c r="D222" s="166">
        <v>541</v>
      </c>
      <c r="E222" s="166" t="s">
        <v>1102</v>
      </c>
      <c r="F222" s="166">
        <v>751.44065116284287</v>
      </c>
    </row>
    <row r="223" spans="1:6">
      <c r="A223" s="403">
        <v>1118</v>
      </c>
      <c r="B223" s="403">
        <v>63</v>
      </c>
      <c r="C223" s="166">
        <v>642</v>
      </c>
      <c r="D223" s="166">
        <v>541</v>
      </c>
      <c r="E223" s="166" t="s">
        <v>1102</v>
      </c>
      <c r="F223" s="166">
        <v>751.44065116284287</v>
      </c>
    </row>
    <row r="224" spans="1:6">
      <c r="A224" s="403">
        <v>1119</v>
      </c>
      <c r="B224" s="403">
        <v>63</v>
      </c>
      <c r="C224" s="166">
        <v>642</v>
      </c>
      <c r="D224" s="166">
        <v>541</v>
      </c>
      <c r="E224" s="166" t="s">
        <v>1102</v>
      </c>
      <c r="F224" s="166">
        <v>751.44065116284287</v>
      </c>
    </row>
    <row r="225" spans="1:6">
      <c r="A225" s="403">
        <v>1120</v>
      </c>
      <c r="B225" s="403">
        <v>63</v>
      </c>
      <c r="C225" s="166">
        <v>642</v>
      </c>
      <c r="D225" s="166">
        <v>541</v>
      </c>
      <c r="E225" s="166" t="s">
        <v>1102</v>
      </c>
      <c r="F225" s="166">
        <v>751.44065116284287</v>
      </c>
    </row>
    <row r="226" spans="1:6">
      <c r="A226" s="403">
        <v>1121</v>
      </c>
      <c r="B226" s="403">
        <v>63</v>
      </c>
      <c r="C226" s="166">
        <v>642</v>
      </c>
      <c r="D226" s="166">
        <v>541</v>
      </c>
      <c r="E226" s="166" t="s">
        <v>1102</v>
      </c>
      <c r="F226" s="166">
        <v>751.44065116284287</v>
      </c>
    </row>
    <row r="227" spans="1:6">
      <c r="A227" s="403">
        <v>1122</v>
      </c>
      <c r="B227" s="403">
        <v>63</v>
      </c>
      <c r="C227" s="166">
        <v>642</v>
      </c>
      <c r="D227" s="166">
        <v>541</v>
      </c>
      <c r="E227" s="166" t="s">
        <v>1102</v>
      </c>
      <c r="F227" s="166">
        <v>751.44065116284287</v>
      </c>
    </row>
    <row r="228" spans="1:6">
      <c r="A228" s="403">
        <v>1123</v>
      </c>
      <c r="B228" s="403">
        <v>63</v>
      </c>
      <c r="C228" s="166">
        <v>642</v>
      </c>
      <c r="D228" s="166">
        <v>541</v>
      </c>
      <c r="E228" s="166" t="s">
        <v>1102</v>
      </c>
      <c r="F228" s="166">
        <v>751.44065116284287</v>
      </c>
    </row>
    <row r="229" spans="1:6">
      <c r="A229" s="403">
        <v>1124</v>
      </c>
      <c r="B229" s="403">
        <v>63</v>
      </c>
      <c r="C229" s="166">
        <v>642</v>
      </c>
      <c r="D229" s="166">
        <v>541</v>
      </c>
      <c r="E229" s="166" t="s">
        <v>1102</v>
      </c>
      <c r="F229" s="166">
        <v>751.44065116284287</v>
      </c>
    </row>
    <row r="230" spans="1:6">
      <c r="A230" s="403">
        <v>1125</v>
      </c>
      <c r="B230" s="403">
        <v>63</v>
      </c>
      <c r="C230" s="166">
        <v>642</v>
      </c>
      <c r="D230" s="166">
        <v>541</v>
      </c>
      <c r="E230" s="166" t="s">
        <v>1102</v>
      </c>
      <c r="F230" s="166">
        <v>751.44065116284287</v>
      </c>
    </row>
    <row r="231" spans="1:6">
      <c r="A231" s="403">
        <v>1126</v>
      </c>
      <c r="B231" s="403">
        <v>63</v>
      </c>
      <c r="C231" s="166">
        <v>642</v>
      </c>
      <c r="D231" s="166">
        <v>541</v>
      </c>
      <c r="E231" s="166" t="s">
        <v>1102</v>
      </c>
      <c r="F231" s="166">
        <v>751.44065116284287</v>
      </c>
    </row>
    <row r="232" spans="1:6">
      <c r="A232" s="403">
        <v>1127</v>
      </c>
      <c r="B232" s="403">
        <v>63</v>
      </c>
      <c r="C232" s="166">
        <v>642</v>
      </c>
      <c r="D232" s="166">
        <v>541</v>
      </c>
      <c r="E232" s="166" t="s">
        <v>1102</v>
      </c>
      <c r="F232" s="166">
        <v>751.44065116284287</v>
      </c>
    </row>
    <row r="233" spans="1:6">
      <c r="A233" s="403">
        <v>1128</v>
      </c>
      <c r="B233" s="403">
        <v>63</v>
      </c>
      <c r="C233" s="166">
        <v>642</v>
      </c>
      <c r="D233" s="166">
        <v>541</v>
      </c>
      <c r="E233" s="166" t="s">
        <v>1102</v>
      </c>
      <c r="F233" s="166">
        <v>751.44065116284287</v>
      </c>
    </row>
    <row r="234" spans="1:6">
      <c r="A234" s="403">
        <v>1129</v>
      </c>
      <c r="B234" s="403">
        <v>63</v>
      </c>
      <c r="C234" s="166">
        <v>642</v>
      </c>
      <c r="D234" s="166">
        <v>541</v>
      </c>
      <c r="E234" s="166" t="s">
        <v>1102</v>
      </c>
      <c r="F234" s="166">
        <v>751.44065116284287</v>
      </c>
    </row>
    <row r="235" spans="1:6">
      <c r="A235" s="403">
        <v>1130</v>
      </c>
      <c r="B235" s="403">
        <v>63</v>
      </c>
      <c r="C235" s="166">
        <v>642</v>
      </c>
      <c r="D235" s="166">
        <v>541</v>
      </c>
      <c r="E235" s="166" t="s">
        <v>1102</v>
      </c>
      <c r="F235" s="166">
        <v>751.44065116284287</v>
      </c>
    </row>
    <row r="236" spans="1:6">
      <c r="A236" s="403">
        <v>1131</v>
      </c>
      <c r="B236" s="403">
        <v>63</v>
      </c>
      <c r="C236" s="166">
        <v>642</v>
      </c>
      <c r="D236" s="166">
        <v>541</v>
      </c>
      <c r="E236" s="166" t="s">
        <v>1102</v>
      </c>
      <c r="F236" s="166">
        <v>751.44065116284287</v>
      </c>
    </row>
    <row r="237" spans="1:6">
      <c r="A237" s="403">
        <v>1132</v>
      </c>
      <c r="B237" s="403">
        <v>63</v>
      </c>
      <c r="C237" s="166">
        <v>642</v>
      </c>
      <c r="D237" s="166">
        <v>541</v>
      </c>
      <c r="E237" s="166" t="s">
        <v>1102</v>
      </c>
      <c r="F237" s="166">
        <v>751.44065116284287</v>
      </c>
    </row>
    <row r="238" spans="1:6">
      <c r="A238" s="403">
        <v>1133</v>
      </c>
      <c r="B238" s="403">
        <v>63</v>
      </c>
      <c r="C238" s="166">
        <v>642</v>
      </c>
      <c r="D238" s="166">
        <v>541</v>
      </c>
      <c r="E238" s="166" t="s">
        <v>1102</v>
      </c>
      <c r="F238" s="166">
        <v>751.44065116284287</v>
      </c>
    </row>
    <row r="239" spans="1:6">
      <c r="A239" s="403">
        <v>1134</v>
      </c>
      <c r="B239" s="403">
        <v>63</v>
      </c>
      <c r="C239" s="166">
        <v>642</v>
      </c>
      <c r="D239" s="166">
        <v>541</v>
      </c>
      <c r="E239" s="166" t="s">
        <v>1102</v>
      </c>
      <c r="F239" s="166">
        <v>751.44065116284287</v>
      </c>
    </row>
    <row r="240" spans="1:6">
      <c r="A240" s="403">
        <v>1135</v>
      </c>
      <c r="B240" s="403">
        <v>63</v>
      </c>
      <c r="C240" s="166">
        <v>642</v>
      </c>
      <c r="D240" s="166">
        <v>541</v>
      </c>
      <c r="E240" s="166" t="s">
        <v>1102</v>
      </c>
      <c r="F240" s="166">
        <v>751.44065116284287</v>
      </c>
    </row>
    <row r="241" spans="1:6">
      <c r="A241" s="403">
        <v>1136</v>
      </c>
      <c r="B241" s="403">
        <v>63</v>
      </c>
      <c r="C241" s="166">
        <v>642</v>
      </c>
      <c r="D241" s="166">
        <v>541</v>
      </c>
      <c r="E241" s="166" t="s">
        <v>1102</v>
      </c>
      <c r="F241" s="166">
        <v>751.44065116284287</v>
      </c>
    </row>
    <row r="242" spans="1:6">
      <c r="A242" s="403">
        <v>1137</v>
      </c>
      <c r="B242" s="403">
        <v>63</v>
      </c>
      <c r="C242" s="166">
        <v>642</v>
      </c>
      <c r="D242" s="166">
        <v>541</v>
      </c>
      <c r="E242" s="166" t="s">
        <v>1102</v>
      </c>
      <c r="F242" s="166">
        <v>751.44065116284287</v>
      </c>
    </row>
    <row r="243" spans="1:6">
      <c r="A243" s="403">
        <v>1138</v>
      </c>
      <c r="B243" s="403">
        <v>63</v>
      </c>
      <c r="C243" s="166">
        <v>642</v>
      </c>
      <c r="D243" s="166">
        <v>541</v>
      </c>
      <c r="E243" s="166" t="s">
        <v>1102</v>
      </c>
      <c r="F243" s="166">
        <v>751.44065116284287</v>
      </c>
    </row>
    <row r="244" spans="1:6">
      <c r="A244" s="403">
        <v>1139</v>
      </c>
      <c r="B244" s="403">
        <v>63</v>
      </c>
      <c r="C244" s="166">
        <v>642</v>
      </c>
      <c r="D244" s="166">
        <v>541</v>
      </c>
      <c r="E244" s="166" t="s">
        <v>1102</v>
      </c>
      <c r="F244" s="166">
        <v>751.44065116284287</v>
      </c>
    </row>
    <row r="245" spans="1:6">
      <c r="A245" s="403">
        <v>1140</v>
      </c>
      <c r="B245" s="403">
        <v>63</v>
      </c>
      <c r="C245" s="166">
        <v>642</v>
      </c>
      <c r="D245" s="166">
        <v>541</v>
      </c>
      <c r="E245" s="166" t="s">
        <v>1102</v>
      </c>
      <c r="F245" s="166">
        <v>751.44065116284287</v>
      </c>
    </row>
    <row r="246" spans="1:6">
      <c r="A246" s="403">
        <v>1141</v>
      </c>
      <c r="B246" s="403">
        <v>63</v>
      </c>
      <c r="C246" s="166">
        <v>642</v>
      </c>
      <c r="D246" s="166">
        <v>541</v>
      </c>
      <c r="E246" s="166" t="s">
        <v>1102</v>
      </c>
      <c r="F246" s="166">
        <v>751.44065116284287</v>
      </c>
    </row>
    <row r="247" spans="1:6">
      <c r="A247" s="403">
        <v>1142</v>
      </c>
      <c r="B247" s="403">
        <v>63</v>
      </c>
      <c r="C247" s="166">
        <v>642</v>
      </c>
      <c r="D247" s="166">
        <v>541</v>
      </c>
      <c r="E247" s="166" t="s">
        <v>1102</v>
      </c>
      <c r="F247" s="166">
        <v>751.44065116284287</v>
      </c>
    </row>
    <row r="248" spans="1:6">
      <c r="A248" s="403">
        <v>1143</v>
      </c>
      <c r="B248" s="403">
        <v>63</v>
      </c>
      <c r="C248" s="166">
        <v>642</v>
      </c>
      <c r="D248" s="166">
        <v>541</v>
      </c>
      <c r="E248" s="166" t="s">
        <v>1102</v>
      </c>
      <c r="F248" s="166">
        <v>751.44065116284287</v>
      </c>
    </row>
    <row r="249" spans="1:6">
      <c r="A249" s="403">
        <v>1144</v>
      </c>
      <c r="B249" s="403">
        <v>63</v>
      </c>
      <c r="C249" s="166">
        <v>642</v>
      </c>
      <c r="D249" s="166">
        <v>541</v>
      </c>
      <c r="E249" s="166" t="s">
        <v>1102</v>
      </c>
      <c r="F249" s="166">
        <v>751.44065116284287</v>
      </c>
    </row>
    <row r="250" spans="1:6">
      <c r="A250" s="403">
        <v>1145</v>
      </c>
      <c r="B250" s="403">
        <v>63</v>
      </c>
      <c r="C250" s="166">
        <v>642</v>
      </c>
      <c r="D250" s="166">
        <v>541</v>
      </c>
      <c r="E250" s="166" t="s">
        <v>1102</v>
      </c>
      <c r="F250" s="166">
        <v>751.44065116284287</v>
      </c>
    </row>
    <row r="251" spans="1:6">
      <c r="A251" s="403">
        <v>1146</v>
      </c>
      <c r="B251" s="403">
        <v>63</v>
      </c>
      <c r="C251" s="166">
        <v>642</v>
      </c>
      <c r="D251" s="166">
        <v>541</v>
      </c>
      <c r="E251" s="166" t="s">
        <v>1102</v>
      </c>
      <c r="F251" s="166">
        <v>751.44065116284287</v>
      </c>
    </row>
    <row r="252" spans="1:6">
      <c r="A252" s="403">
        <v>1147</v>
      </c>
      <c r="B252" s="403">
        <v>63</v>
      </c>
      <c r="C252" s="166">
        <v>642</v>
      </c>
      <c r="D252" s="166">
        <v>541</v>
      </c>
      <c r="E252" s="166" t="s">
        <v>1102</v>
      </c>
      <c r="F252" s="166">
        <v>751.44065116284287</v>
      </c>
    </row>
    <row r="253" spans="1:6">
      <c r="A253" s="403">
        <v>1148</v>
      </c>
      <c r="B253" s="403">
        <v>63</v>
      </c>
      <c r="C253" s="166">
        <v>642</v>
      </c>
      <c r="D253" s="166">
        <v>541</v>
      </c>
      <c r="E253" s="166" t="s">
        <v>1102</v>
      </c>
      <c r="F253" s="166">
        <v>751.44065116284287</v>
      </c>
    </row>
    <row r="254" spans="1:6">
      <c r="A254" s="403">
        <v>1149</v>
      </c>
      <c r="B254" s="403">
        <v>63</v>
      </c>
      <c r="C254" s="166">
        <v>642</v>
      </c>
      <c r="D254" s="166">
        <v>541</v>
      </c>
      <c r="E254" s="166" t="s">
        <v>1102</v>
      </c>
      <c r="F254" s="166">
        <v>751.44065116284287</v>
      </c>
    </row>
    <row r="255" spans="1:6">
      <c r="A255" s="403">
        <v>1150</v>
      </c>
      <c r="B255" s="403">
        <v>63</v>
      </c>
      <c r="C255" s="166">
        <v>642</v>
      </c>
      <c r="D255" s="166">
        <v>541</v>
      </c>
      <c r="E255" s="166" t="s">
        <v>1102</v>
      </c>
      <c r="F255" s="166">
        <v>751.44065116284287</v>
      </c>
    </row>
    <row r="256" spans="1:6">
      <c r="A256" s="403">
        <v>1151</v>
      </c>
      <c r="B256" s="403">
        <v>63</v>
      </c>
      <c r="C256" s="166">
        <v>642</v>
      </c>
      <c r="D256" s="166">
        <v>541</v>
      </c>
      <c r="E256" s="166" t="s">
        <v>1102</v>
      </c>
      <c r="F256" s="166">
        <v>751.44065116284287</v>
      </c>
    </row>
    <row r="257" spans="1:6">
      <c r="A257" s="403">
        <v>1152</v>
      </c>
      <c r="B257" s="403">
        <v>63</v>
      </c>
      <c r="C257" s="166">
        <v>642</v>
      </c>
      <c r="D257" s="166">
        <v>541</v>
      </c>
      <c r="E257" s="166" t="s">
        <v>1102</v>
      </c>
      <c r="F257" s="166">
        <v>751.44065116284287</v>
      </c>
    </row>
    <row r="258" spans="1:6">
      <c r="A258" s="403">
        <v>1153</v>
      </c>
      <c r="B258" s="403">
        <v>63</v>
      </c>
      <c r="C258" s="166">
        <v>642</v>
      </c>
      <c r="D258" s="166">
        <v>541</v>
      </c>
      <c r="E258" s="166" t="s">
        <v>1102</v>
      </c>
      <c r="F258" s="166">
        <v>751.44065116284287</v>
      </c>
    </row>
    <row r="259" spans="1:6">
      <c r="A259" s="403">
        <v>1154</v>
      </c>
      <c r="B259" s="403">
        <v>63</v>
      </c>
      <c r="C259" s="166">
        <v>642</v>
      </c>
      <c r="D259" s="166">
        <v>541</v>
      </c>
      <c r="E259" s="166" t="s">
        <v>1102</v>
      </c>
      <c r="F259" s="166">
        <v>751.44065116284287</v>
      </c>
    </row>
    <row r="260" spans="1:6">
      <c r="A260" s="403">
        <v>1155</v>
      </c>
      <c r="B260" s="403">
        <v>63</v>
      </c>
      <c r="C260" s="166">
        <v>642</v>
      </c>
      <c r="D260" s="166">
        <v>541</v>
      </c>
      <c r="E260" s="166" t="s">
        <v>1102</v>
      </c>
      <c r="F260" s="166">
        <v>751.44065116284287</v>
      </c>
    </row>
    <row r="261" spans="1:6">
      <c r="A261" s="403">
        <v>1156</v>
      </c>
      <c r="B261" s="403">
        <v>63</v>
      </c>
      <c r="C261" s="166">
        <v>642</v>
      </c>
      <c r="D261" s="166">
        <v>541</v>
      </c>
      <c r="E261" s="166" t="s">
        <v>1102</v>
      </c>
      <c r="F261" s="166">
        <v>751.44065116284287</v>
      </c>
    </row>
    <row r="262" spans="1:6">
      <c r="A262" s="403">
        <v>1157</v>
      </c>
      <c r="B262" s="403">
        <v>63</v>
      </c>
      <c r="C262" s="166">
        <v>642</v>
      </c>
      <c r="D262" s="166">
        <v>541</v>
      </c>
      <c r="E262" s="166" t="s">
        <v>1102</v>
      </c>
      <c r="F262" s="166">
        <v>751.44065116284287</v>
      </c>
    </row>
    <row r="263" spans="1:6">
      <c r="A263" s="403">
        <v>1158</v>
      </c>
      <c r="B263" s="403">
        <v>63</v>
      </c>
      <c r="C263" s="166">
        <v>642</v>
      </c>
      <c r="D263" s="166">
        <v>541</v>
      </c>
      <c r="E263" s="166" t="s">
        <v>1102</v>
      </c>
      <c r="F263" s="166">
        <v>751.44065116284287</v>
      </c>
    </row>
    <row r="264" spans="1:6">
      <c r="A264" s="403">
        <v>1159</v>
      </c>
      <c r="B264" s="403">
        <v>63</v>
      </c>
      <c r="C264" s="166">
        <v>642</v>
      </c>
      <c r="D264" s="166">
        <v>541</v>
      </c>
      <c r="E264" s="166" t="s">
        <v>1102</v>
      </c>
      <c r="F264" s="166">
        <v>751.44065116284287</v>
      </c>
    </row>
    <row r="265" spans="1:6">
      <c r="A265" s="403">
        <v>1160</v>
      </c>
      <c r="B265" s="403">
        <v>63</v>
      </c>
      <c r="C265" s="166">
        <v>642</v>
      </c>
      <c r="D265" s="166">
        <v>541</v>
      </c>
      <c r="E265" s="166" t="s">
        <v>1102</v>
      </c>
      <c r="F265" s="166">
        <v>751.44065116284287</v>
      </c>
    </row>
    <row r="266" spans="1:6">
      <c r="A266" s="403">
        <v>1161</v>
      </c>
      <c r="B266" s="403">
        <v>63</v>
      </c>
      <c r="C266" s="166">
        <v>642</v>
      </c>
      <c r="D266" s="166">
        <v>541</v>
      </c>
      <c r="E266" s="166" t="s">
        <v>1102</v>
      </c>
      <c r="F266" s="166">
        <v>751.44065116284287</v>
      </c>
    </row>
    <row r="267" spans="1:6">
      <c r="A267" s="403">
        <v>1162</v>
      </c>
      <c r="B267" s="403">
        <v>63</v>
      </c>
      <c r="C267" s="166">
        <v>642</v>
      </c>
      <c r="D267" s="166">
        <v>541</v>
      </c>
      <c r="E267" s="166" t="s">
        <v>1102</v>
      </c>
      <c r="F267" s="166">
        <v>751.44065116284287</v>
      </c>
    </row>
    <row r="268" spans="1:6">
      <c r="A268" s="403">
        <v>1163</v>
      </c>
      <c r="B268" s="403">
        <v>63</v>
      </c>
      <c r="C268" s="166">
        <v>642</v>
      </c>
      <c r="D268" s="166">
        <v>541</v>
      </c>
      <c r="E268" s="166" t="s">
        <v>1102</v>
      </c>
      <c r="F268" s="166">
        <v>751.44065116284287</v>
      </c>
    </row>
    <row r="269" spans="1:6">
      <c r="A269" s="403">
        <v>1164</v>
      </c>
      <c r="B269" s="403">
        <v>63</v>
      </c>
      <c r="C269" s="166">
        <v>642</v>
      </c>
      <c r="D269" s="166">
        <v>541</v>
      </c>
      <c r="E269" s="166" t="s">
        <v>1102</v>
      </c>
      <c r="F269" s="166">
        <v>751.44065116284287</v>
      </c>
    </row>
    <row r="270" spans="1:6">
      <c r="A270" s="403">
        <v>1165</v>
      </c>
      <c r="B270" s="403">
        <v>63</v>
      </c>
      <c r="C270" s="166">
        <v>642</v>
      </c>
      <c r="D270" s="166">
        <v>541</v>
      </c>
      <c r="E270" s="166" t="s">
        <v>1102</v>
      </c>
      <c r="F270" s="166">
        <v>751.44065116284287</v>
      </c>
    </row>
    <row r="271" spans="1:6">
      <c r="A271" s="403">
        <v>1166</v>
      </c>
      <c r="B271" s="403">
        <v>63</v>
      </c>
      <c r="C271" s="166">
        <v>642</v>
      </c>
      <c r="D271" s="166">
        <v>541</v>
      </c>
      <c r="E271" s="166" t="s">
        <v>1102</v>
      </c>
      <c r="F271" s="166">
        <v>751.44065116284287</v>
      </c>
    </row>
    <row r="272" spans="1:6">
      <c r="A272" s="403">
        <v>1167</v>
      </c>
      <c r="B272" s="403">
        <v>63</v>
      </c>
      <c r="C272" s="166">
        <v>642</v>
      </c>
      <c r="D272" s="166">
        <v>541</v>
      </c>
      <c r="E272" s="166" t="s">
        <v>1102</v>
      </c>
      <c r="F272" s="166">
        <v>751.44065116284287</v>
      </c>
    </row>
    <row r="273" spans="1:6">
      <c r="A273" s="403">
        <v>1168</v>
      </c>
      <c r="B273" s="403">
        <v>63</v>
      </c>
      <c r="C273" s="166">
        <v>642</v>
      </c>
      <c r="D273" s="166">
        <v>541</v>
      </c>
      <c r="E273" s="166" t="s">
        <v>1102</v>
      </c>
      <c r="F273" s="166">
        <v>751.44065116284287</v>
      </c>
    </row>
    <row r="274" spans="1:6">
      <c r="A274" s="403">
        <v>1169</v>
      </c>
      <c r="B274" s="403">
        <v>63</v>
      </c>
      <c r="C274" s="166">
        <v>642</v>
      </c>
      <c r="D274" s="166">
        <v>541</v>
      </c>
      <c r="E274" s="166" t="s">
        <v>1102</v>
      </c>
      <c r="F274" s="166">
        <v>751.44065116284287</v>
      </c>
    </row>
    <row r="275" spans="1:6">
      <c r="A275" s="403">
        <v>1170</v>
      </c>
      <c r="B275" s="403">
        <v>63</v>
      </c>
      <c r="C275" s="166">
        <v>642</v>
      </c>
      <c r="D275" s="166">
        <v>541</v>
      </c>
      <c r="E275" s="166" t="s">
        <v>1102</v>
      </c>
      <c r="F275" s="166">
        <v>751.44065116284287</v>
      </c>
    </row>
    <row r="276" spans="1:6">
      <c r="A276" s="403">
        <v>1171</v>
      </c>
      <c r="B276" s="403">
        <v>63</v>
      </c>
      <c r="C276" s="166">
        <v>642</v>
      </c>
      <c r="D276" s="166">
        <v>541</v>
      </c>
      <c r="E276" s="166" t="s">
        <v>1102</v>
      </c>
      <c r="F276" s="166">
        <v>751.44065116284287</v>
      </c>
    </row>
    <row r="277" spans="1:6">
      <c r="A277" s="403">
        <v>1172</v>
      </c>
      <c r="B277" s="403">
        <v>63</v>
      </c>
      <c r="C277" s="166">
        <v>642</v>
      </c>
      <c r="D277" s="166">
        <v>541</v>
      </c>
      <c r="E277" s="166" t="s">
        <v>1102</v>
      </c>
      <c r="F277" s="166">
        <v>751.44065116284287</v>
      </c>
    </row>
    <row r="278" spans="1:6">
      <c r="A278" s="403">
        <v>1173</v>
      </c>
      <c r="B278" s="403">
        <v>63</v>
      </c>
      <c r="C278" s="166">
        <v>642</v>
      </c>
      <c r="D278" s="166">
        <v>541</v>
      </c>
      <c r="E278" s="166" t="s">
        <v>1102</v>
      </c>
      <c r="F278" s="166">
        <v>751.44065116284287</v>
      </c>
    </row>
    <row r="279" spans="1:6">
      <c r="A279" s="403">
        <v>1174</v>
      </c>
      <c r="B279" s="403">
        <v>63</v>
      </c>
      <c r="C279" s="166">
        <v>642</v>
      </c>
      <c r="D279" s="166">
        <v>541</v>
      </c>
      <c r="E279" s="166" t="s">
        <v>1102</v>
      </c>
      <c r="F279" s="166">
        <v>751.44065116284287</v>
      </c>
    </row>
    <row r="280" spans="1:6">
      <c r="A280" s="403">
        <v>1175</v>
      </c>
      <c r="B280" s="403">
        <v>63</v>
      </c>
      <c r="C280" s="166">
        <v>642</v>
      </c>
      <c r="D280" s="166">
        <v>541</v>
      </c>
      <c r="E280" s="166" t="s">
        <v>1102</v>
      </c>
      <c r="F280" s="166">
        <v>751.44065116284287</v>
      </c>
    </row>
    <row r="281" spans="1:6">
      <c r="A281" s="403">
        <v>1176</v>
      </c>
      <c r="B281" s="403">
        <v>63</v>
      </c>
      <c r="C281" s="166">
        <v>642</v>
      </c>
      <c r="D281" s="166">
        <v>541</v>
      </c>
      <c r="E281" s="166" t="s">
        <v>1102</v>
      </c>
      <c r="F281" s="166">
        <v>751.44065116284287</v>
      </c>
    </row>
    <row r="282" spans="1:6">
      <c r="A282" s="403">
        <v>1177</v>
      </c>
      <c r="B282" s="403">
        <v>63</v>
      </c>
      <c r="C282" s="166">
        <v>642</v>
      </c>
      <c r="D282" s="166">
        <v>541</v>
      </c>
      <c r="E282" s="166" t="s">
        <v>1102</v>
      </c>
      <c r="F282" s="166">
        <v>751.44065116284287</v>
      </c>
    </row>
    <row r="283" spans="1:6">
      <c r="A283" s="403">
        <v>1178</v>
      </c>
      <c r="B283" s="403">
        <v>63</v>
      </c>
      <c r="C283" s="166">
        <v>642</v>
      </c>
      <c r="D283" s="166">
        <v>541</v>
      </c>
      <c r="E283" s="166" t="s">
        <v>1102</v>
      </c>
      <c r="F283" s="166">
        <v>751.44065116284287</v>
      </c>
    </row>
    <row r="284" spans="1:6">
      <c r="A284" s="403">
        <v>1179</v>
      </c>
      <c r="B284" s="403">
        <v>63</v>
      </c>
      <c r="C284" s="166">
        <v>642</v>
      </c>
      <c r="D284" s="166">
        <v>541</v>
      </c>
      <c r="E284" s="166" t="s">
        <v>1102</v>
      </c>
      <c r="F284" s="166">
        <v>751.44065116284287</v>
      </c>
    </row>
    <row r="285" spans="1:6">
      <c r="A285" s="403">
        <v>1180</v>
      </c>
      <c r="B285" s="403">
        <v>63</v>
      </c>
      <c r="C285" s="166">
        <v>642</v>
      </c>
      <c r="D285" s="166">
        <v>541</v>
      </c>
      <c r="E285" s="166" t="s">
        <v>1102</v>
      </c>
      <c r="F285" s="166">
        <v>751.44065116284287</v>
      </c>
    </row>
    <row r="286" spans="1:6">
      <c r="A286" s="403">
        <v>1181</v>
      </c>
      <c r="B286" s="403">
        <v>63</v>
      </c>
      <c r="C286" s="166">
        <v>642</v>
      </c>
      <c r="D286" s="166">
        <v>541</v>
      </c>
      <c r="E286" s="166" t="s">
        <v>1102</v>
      </c>
      <c r="F286" s="166">
        <v>751.44065116284287</v>
      </c>
    </row>
    <row r="287" spans="1:6">
      <c r="A287" s="403">
        <v>1182</v>
      </c>
      <c r="B287" s="403">
        <v>63</v>
      </c>
      <c r="C287" s="166">
        <v>642</v>
      </c>
      <c r="D287" s="166">
        <v>541</v>
      </c>
      <c r="E287" s="166" t="s">
        <v>1102</v>
      </c>
      <c r="F287" s="166">
        <v>751.44065116284287</v>
      </c>
    </row>
    <row r="288" spans="1:6">
      <c r="A288" s="403">
        <v>1183</v>
      </c>
      <c r="B288" s="403">
        <v>63</v>
      </c>
      <c r="C288" s="166">
        <v>642</v>
      </c>
      <c r="D288" s="166">
        <v>541</v>
      </c>
      <c r="E288" s="166" t="s">
        <v>1102</v>
      </c>
      <c r="F288" s="166">
        <v>751.44065116284287</v>
      </c>
    </row>
    <row r="289" spans="1:6">
      <c r="A289" s="403">
        <v>1184</v>
      </c>
      <c r="B289" s="403">
        <v>63</v>
      </c>
      <c r="C289" s="166">
        <v>642</v>
      </c>
      <c r="D289" s="166">
        <v>541</v>
      </c>
      <c r="E289" s="166" t="s">
        <v>1102</v>
      </c>
      <c r="F289" s="166">
        <v>751.44065116284287</v>
      </c>
    </row>
    <row r="290" spans="1:6">
      <c r="A290" s="403">
        <v>1185</v>
      </c>
      <c r="B290" s="403">
        <v>63</v>
      </c>
      <c r="C290" s="166">
        <v>642</v>
      </c>
      <c r="D290" s="166">
        <v>541</v>
      </c>
      <c r="E290" s="166" t="s">
        <v>1102</v>
      </c>
      <c r="F290" s="166">
        <v>751.44065116284287</v>
      </c>
    </row>
    <row r="291" spans="1:6">
      <c r="A291" s="403">
        <v>1186</v>
      </c>
      <c r="B291" s="403">
        <v>63</v>
      </c>
      <c r="C291" s="166">
        <v>642</v>
      </c>
      <c r="D291" s="166">
        <v>541</v>
      </c>
      <c r="E291" s="166" t="s">
        <v>1102</v>
      </c>
      <c r="F291" s="166">
        <v>751.44065116284287</v>
      </c>
    </row>
    <row r="292" spans="1:6">
      <c r="A292" s="403">
        <v>1187</v>
      </c>
      <c r="B292" s="403">
        <v>63</v>
      </c>
      <c r="C292" s="166">
        <v>642</v>
      </c>
      <c r="D292" s="166">
        <v>541</v>
      </c>
      <c r="E292" s="166" t="s">
        <v>1102</v>
      </c>
      <c r="F292" s="166">
        <v>751.44065116284287</v>
      </c>
    </row>
    <row r="293" spans="1:6">
      <c r="A293" s="403">
        <v>1188</v>
      </c>
      <c r="B293" s="403">
        <v>63</v>
      </c>
      <c r="C293" s="166">
        <v>642</v>
      </c>
      <c r="D293" s="166">
        <v>541</v>
      </c>
      <c r="E293" s="166" t="s">
        <v>1102</v>
      </c>
      <c r="F293" s="166">
        <v>751.44065116284287</v>
      </c>
    </row>
    <row r="294" spans="1:6">
      <c r="A294" s="403">
        <v>1189</v>
      </c>
      <c r="B294" s="403">
        <v>63</v>
      </c>
      <c r="C294" s="166">
        <v>642</v>
      </c>
      <c r="D294" s="166">
        <v>541</v>
      </c>
      <c r="E294" s="166" t="s">
        <v>1102</v>
      </c>
      <c r="F294" s="166">
        <v>751.44065116284287</v>
      </c>
    </row>
    <row r="295" spans="1:6">
      <c r="A295" s="403">
        <v>1190</v>
      </c>
      <c r="B295" s="403">
        <v>63</v>
      </c>
      <c r="C295" s="166">
        <v>642</v>
      </c>
      <c r="D295" s="166">
        <v>541</v>
      </c>
      <c r="E295" s="166" t="s">
        <v>1102</v>
      </c>
      <c r="F295" s="166">
        <v>751.44065116284287</v>
      </c>
    </row>
    <row r="296" spans="1:6">
      <c r="A296" s="403">
        <v>1191</v>
      </c>
      <c r="B296" s="403">
        <v>63</v>
      </c>
      <c r="C296" s="166">
        <v>642</v>
      </c>
      <c r="D296" s="166">
        <v>541</v>
      </c>
      <c r="E296" s="166" t="s">
        <v>1102</v>
      </c>
      <c r="F296" s="166">
        <v>751.44065116284287</v>
      </c>
    </row>
    <row r="297" spans="1:6">
      <c r="A297" s="403">
        <v>1192</v>
      </c>
      <c r="B297" s="403">
        <v>63</v>
      </c>
      <c r="C297" s="166">
        <v>642</v>
      </c>
      <c r="D297" s="166">
        <v>541</v>
      </c>
      <c r="E297" s="166" t="s">
        <v>1102</v>
      </c>
      <c r="F297" s="166">
        <v>751.44065116284287</v>
      </c>
    </row>
    <row r="298" spans="1:6">
      <c r="A298" s="403">
        <v>1193</v>
      </c>
      <c r="B298" s="403">
        <v>63</v>
      </c>
      <c r="C298" s="166">
        <v>642</v>
      </c>
      <c r="D298" s="166">
        <v>541</v>
      </c>
      <c r="E298" s="166" t="s">
        <v>1102</v>
      </c>
      <c r="F298" s="166">
        <v>751.44065116284287</v>
      </c>
    </row>
    <row r="299" spans="1:6">
      <c r="A299" s="403">
        <v>1194</v>
      </c>
      <c r="B299" s="403">
        <v>63</v>
      </c>
      <c r="C299" s="166">
        <v>642</v>
      </c>
      <c r="D299" s="166">
        <v>541</v>
      </c>
      <c r="E299" s="166" t="s">
        <v>1102</v>
      </c>
      <c r="F299" s="166">
        <v>751.44065116284287</v>
      </c>
    </row>
    <row r="300" spans="1:6">
      <c r="A300" s="403">
        <v>1195</v>
      </c>
      <c r="B300" s="403">
        <v>63</v>
      </c>
      <c r="C300" s="166">
        <v>642</v>
      </c>
      <c r="D300" s="166">
        <v>541</v>
      </c>
      <c r="E300" s="166" t="s">
        <v>1102</v>
      </c>
      <c r="F300" s="166">
        <v>751.44065116284287</v>
      </c>
    </row>
    <row r="301" spans="1:6">
      <c r="A301" s="403">
        <v>1196</v>
      </c>
      <c r="B301" s="403">
        <v>63</v>
      </c>
      <c r="C301" s="166">
        <v>642</v>
      </c>
      <c r="D301" s="166">
        <v>541</v>
      </c>
      <c r="E301" s="166" t="s">
        <v>1102</v>
      </c>
      <c r="F301" s="166">
        <v>751.44065116284287</v>
      </c>
    </row>
    <row r="302" spans="1:6">
      <c r="A302" s="403">
        <v>1197</v>
      </c>
      <c r="B302" s="403">
        <v>63</v>
      </c>
      <c r="C302" s="166">
        <v>642</v>
      </c>
      <c r="D302" s="166">
        <v>541</v>
      </c>
      <c r="E302" s="166" t="s">
        <v>1102</v>
      </c>
      <c r="F302" s="166">
        <v>751.44065116284287</v>
      </c>
    </row>
    <row r="303" spans="1:6">
      <c r="A303" s="403">
        <v>1198</v>
      </c>
      <c r="B303" s="403">
        <v>63</v>
      </c>
      <c r="C303" s="166">
        <v>642</v>
      </c>
      <c r="D303" s="166">
        <v>541</v>
      </c>
      <c r="E303" s="166" t="s">
        <v>1102</v>
      </c>
      <c r="F303" s="166">
        <v>751.44065116284287</v>
      </c>
    </row>
    <row r="304" spans="1:6">
      <c r="A304" s="403">
        <v>1199</v>
      </c>
      <c r="B304" s="403">
        <v>63</v>
      </c>
      <c r="C304" s="166">
        <v>642</v>
      </c>
      <c r="D304" s="166">
        <v>541</v>
      </c>
      <c r="E304" s="166" t="s">
        <v>1102</v>
      </c>
      <c r="F304" s="166">
        <v>751.44065116284287</v>
      </c>
    </row>
    <row r="305" spans="1:6">
      <c r="A305" s="403">
        <v>1200</v>
      </c>
      <c r="B305" s="403">
        <v>63</v>
      </c>
      <c r="C305" s="166">
        <v>642</v>
      </c>
      <c r="D305" s="166">
        <v>541</v>
      </c>
      <c r="E305" s="166" t="s">
        <v>1102</v>
      </c>
      <c r="F305" s="166">
        <v>751.44065116284287</v>
      </c>
    </row>
    <row r="306" spans="1:6">
      <c r="A306" s="403">
        <v>1201</v>
      </c>
      <c r="B306" s="403">
        <v>63</v>
      </c>
      <c r="C306" s="166">
        <v>642</v>
      </c>
      <c r="D306" s="166">
        <v>541</v>
      </c>
      <c r="E306" s="166" t="s">
        <v>1102</v>
      </c>
      <c r="F306" s="166">
        <v>751.44065116284287</v>
      </c>
    </row>
    <row r="307" spans="1:6">
      <c r="A307" s="403">
        <v>1202</v>
      </c>
      <c r="B307" s="403">
        <v>63</v>
      </c>
      <c r="C307" s="166">
        <v>642</v>
      </c>
      <c r="D307" s="166">
        <v>541</v>
      </c>
      <c r="E307" s="166" t="s">
        <v>1102</v>
      </c>
      <c r="F307" s="166">
        <v>751.44065116284287</v>
      </c>
    </row>
    <row r="308" spans="1:6">
      <c r="A308" s="403">
        <v>1203</v>
      </c>
      <c r="B308" s="403">
        <v>63</v>
      </c>
      <c r="C308" s="166">
        <v>642</v>
      </c>
      <c r="D308" s="166">
        <v>541</v>
      </c>
      <c r="E308" s="166" t="s">
        <v>1102</v>
      </c>
      <c r="F308" s="166">
        <v>751.44065116284287</v>
      </c>
    </row>
    <row r="309" spans="1:6">
      <c r="A309" s="403">
        <v>1204</v>
      </c>
      <c r="B309" s="403">
        <v>63</v>
      </c>
      <c r="C309" s="166">
        <v>642</v>
      </c>
      <c r="D309" s="166">
        <v>541</v>
      </c>
      <c r="E309" s="166" t="s">
        <v>1102</v>
      </c>
      <c r="F309" s="166">
        <v>751.44065116284287</v>
      </c>
    </row>
    <row r="310" spans="1:6">
      <c r="A310" s="403">
        <v>1205</v>
      </c>
      <c r="B310" s="403">
        <v>63</v>
      </c>
      <c r="C310" s="166">
        <v>642</v>
      </c>
      <c r="D310" s="166">
        <v>541</v>
      </c>
      <c r="E310" s="166" t="s">
        <v>1102</v>
      </c>
      <c r="F310" s="166">
        <v>751.44065116284287</v>
      </c>
    </row>
    <row r="311" spans="1:6">
      <c r="A311" s="403">
        <v>1206</v>
      </c>
      <c r="B311" s="403">
        <v>63</v>
      </c>
      <c r="C311" s="166">
        <v>642</v>
      </c>
      <c r="D311" s="166">
        <v>541</v>
      </c>
      <c r="E311" s="166" t="s">
        <v>1102</v>
      </c>
      <c r="F311" s="166">
        <v>751.44065116284287</v>
      </c>
    </row>
    <row r="312" spans="1:6">
      <c r="A312" s="403">
        <v>1207</v>
      </c>
      <c r="B312" s="403">
        <v>63</v>
      </c>
      <c r="C312" s="166">
        <v>642</v>
      </c>
      <c r="D312" s="166">
        <v>541</v>
      </c>
      <c r="E312" s="166" t="s">
        <v>1102</v>
      </c>
      <c r="F312" s="166">
        <v>751.44065116284287</v>
      </c>
    </row>
    <row r="313" spans="1:6">
      <c r="A313" s="403">
        <v>1208</v>
      </c>
      <c r="B313" s="403">
        <v>63</v>
      </c>
      <c r="C313" s="166">
        <v>642</v>
      </c>
      <c r="D313" s="166">
        <v>541</v>
      </c>
      <c r="E313" s="166" t="s">
        <v>1102</v>
      </c>
      <c r="F313" s="166">
        <v>751.44065116284287</v>
      </c>
    </row>
    <row r="314" spans="1:6">
      <c r="A314" s="403">
        <v>1209</v>
      </c>
      <c r="B314" s="403">
        <v>63</v>
      </c>
      <c r="C314" s="166">
        <v>642</v>
      </c>
      <c r="D314" s="166">
        <v>541</v>
      </c>
      <c r="E314" s="166" t="s">
        <v>1102</v>
      </c>
      <c r="F314" s="166">
        <v>751.44065116284287</v>
      </c>
    </row>
    <row r="315" spans="1:6">
      <c r="A315" s="403">
        <v>1210</v>
      </c>
      <c r="B315" s="403">
        <v>63</v>
      </c>
      <c r="C315" s="166">
        <v>642</v>
      </c>
      <c r="D315" s="166">
        <v>541</v>
      </c>
      <c r="E315" s="166" t="s">
        <v>1102</v>
      </c>
      <c r="F315" s="166">
        <v>751.44065116284287</v>
      </c>
    </row>
    <row r="316" spans="1:6">
      <c r="A316" s="403">
        <v>1211</v>
      </c>
      <c r="B316" s="403">
        <v>63</v>
      </c>
      <c r="C316" s="166">
        <v>642</v>
      </c>
      <c r="D316" s="166">
        <v>541</v>
      </c>
      <c r="E316" s="166" t="s">
        <v>1102</v>
      </c>
      <c r="F316" s="166">
        <v>751.44065116284287</v>
      </c>
    </row>
    <row r="317" spans="1:6">
      <c r="A317" s="403">
        <v>1212</v>
      </c>
      <c r="B317" s="403">
        <v>63</v>
      </c>
      <c r="C317" s="166">
        <v>642</v>
      </c>
      <c r="D317" s="166">
        <v>541</v>
      </c>
      <c r="E317" s="166" t="s">
        <v>1102</v>
      </c>
      <c r="F317" s="166">
        <v>751.44065116284287</v>
      </c>
    </row>
    <row r="318" spans="1:6">
      <c r="A318" s="403">
        <v>1213</v>
      </c>
      <c r="B318" s="403">
        <v>63</v>
      </c>
      <c r="C318" s="166">
        <v>642</v>
      </c>
      <c r="D318" s="166">
        <v>541</v>
      </c>
      <c r="E318" s="166" t="s">
        <v>1102</v>
      </c>
      <c r="F318" s="166">
        <v>751.44065116284287</v>
      </c>
    </row>
    <row r="319" spans="1:6">
      <c r="A319" s="403">
        <v>1214</v>
      </c>
      <c r="B319" s="403">
        <v>63</v>
      </c>
      <c r="C319" s="166">
        <v>642</v>
      </c>
      <c r="D319" s="166">
        <v>541</v>
      </c>
      <c r="E319" s="166" t="s">
        <v>1102</v>
      </c>
      <c r="F319" s="166">
        <v>751.44065116284287</v>
      </c>
    </row>
    <row r="320" spans="1:6">
      <c r="A320" s="403">
        <v>1215</v>
      </c>
      <c r="B320" s="403">
        <v>63</v>
      </c>
      <c r="C320" s="166">
        <v>642</v>
      </c>
      <c r="D320" s="166">
        <v>541</v>
      </c>
      <c r="E320" s="166" t="s">
        <v>1102</v>
      </c>
      <c r="F320" s="166">
        <v>751.44065116284287</v>
      </c>
    </row>
    <row r="321" spans="1:6">
      <c r="A321" s="403">
        <v>1216</v>
      </c>
      <c r="B321" s="403">
        <v>63</v>
      </c>
      <c r="C321" s="166">
        <v>642</v>
      </c>
      <c r="D321" s="166">
        <v>541</v>
      </c>
      <c r="E321" s="166" t="s">
        <v>1102</v>
      </c>
      <c r="F321" s="166">
        <v>751.44065116284287</v>
      </c>
    </row>
    <row r="322" spans="1:6">
      <c r="A322" s="403">
        <v>1217</v>
      </c>
      <c r="B322" s="403">
        <v>63</v>
      </c>
      <c r="C322" s="166">
        <v>642</v>
      </c>
      <c r="D322" s="166">
        <v>541</v>
      </c>
      <c r="E322" s="166" t="s">
        <v>1102</v>
      </c>
      <c r="F322" s="166">
        <v>751.44065116284287</v>
      </c>
    </row>
    <row r="323" spans="1:6">
      <c r="A323" s="403">
        <v>1218</v>
      </c>
      <c r="B323" s="403">
        <v>63</v>
      </c>
      <c r="C323" s="166">
        <v>642</v>
      </c>
      <c r="D323" s="166">
        <v>541</v>
      </c>
      <c r="E323" s="166" t="s">
        <v>1102</v>
      </c>
      <c r="F323" s="166">
        <v>751.44065116284287</v>
      </c>
    </row>
    <row r="324" spans="1:6">
      <c r="A324" s="403">
        <v>1219</v>
      </c>
      <c r="B324" s="403">
        <v>63</v>
      </c>
      <c r="C324" s="166">
        <v>642</v>
      </c>
      <c r="D324" s="166">
        <v>541</v>
      </c>
      <c r="E324" s="166" t="s">
        <v>1102</v>
      </c>
      <c r="F324" s="166">
        <v>751.44065116284287</v>
      </c>
    </row>
    <row r="325" spans="1:6">
      <c r="A325" s="403">
        <v>1220</v>
      </c>
      <c r="B325" s="403">
        <v>63</v>
      </c>
      <c r="C325" s="166">
        <v>642</v>
      </c>
      <c r="D325" s="166">
        <v>541</v>
      </c>
      <c r="E325" s="166" t="s">
        <v>1102</v>
      </c>
      <c r="F325" s="166">
        <v>751.44065116284287</v>
      </c>
    </row>
    <row r="326" spans="1:6">
      <c r="A326" s="403">
        <v>1221</v>
      </c>
      <c r="B326" s="403">
        <v>63</v>
      </c>
      <c r="C326" s="166">
        <v>642</v>
      </c>
      <c r="D326" s="166">
        <v>541</v>
      </c>
      <c r="E326" s="166" t="s">
        <v>1102</v>
      </c>
      <c r="F326" s="166">
        <v>751.44065116284287</v>
      </c>
    </row>
    <row r="327" spans="1:6">
      <c r="A327" s="403">
        <v>1222</v>
      </c>
      <c r="B327" s="403">
        <v>63</v>
      </c>
      <c r="C327" s="166">
        <v>642</v>
      </c>
      <c r="D327" s="166">
        <v>541</v>
      </c>
      <c r="E327" s="166" t="s">
        <v>1102</v>
      </c>
      <c r="F327" s="166">
        <v>751.44065116284287</v>
      </c>
    </row>
    <row r="328" spans="1:6">
      <c r="A328" s="403">
        <v>1223</v>
      </c>
      <c r="B328" s="403">
        <v>63</v>
      </c>
      <c r="C328" s="166">
        <v>642</v>
      </c>
      <c r="D328" s="166">
        <v>541</v>
      </c>
      <c r="E328" s="166" t="s">
        <v>1102</v>
      </c>
      <c r="F328" s="166">
        <v>751.44065116284287</v>
      </c>
    </row>
    <row r="329" spans="1:6">
      <c r="A329" s="403">
        <v>1224</v>
      </c>
      <c r="B329" s="403">
        <v>63</v>
      </c>
      <c r="C329" s="166">
        <v>642</v>
      </c>
      <c r="D329" s="166">
        <v>541</v>
      </c>
      <c r="E329" s="166" t="s">
        <v>1102</v>
      </c>
      <c r="F329" s="166">
        <v>751.44065116284287</v>
      </c>
    </row>
    <row r="330" spans="1:6">
      <c r="A330" s="403">
        <v>1225</v>
      </c>
      <c r="B330" s="403">
        <v>63</v>
      </c>
      <c r="C330" s="166">
        <v>642</v>
      </c>
      <c r="D330" s="166">
        <v>541</v>
      </c>
      <c r="E330" s="166" t="s">
        <v>1102</v>
      </c>
      <c r="F330" s="166">
        <v>751.44065116284287</v>
      </c>
    </row>
    <row r="331" spans="1:6">
      <c r="A331" s="403">
        <v>1226</v>
      </c>
      <c r="B331" s="403">
        <v>63</v>
      </c>
      <c r="C331" s="166">
        <v>642</v>
      </c>
      <c r="D331" s="166">
        <v>541</v>
      </c>
      <c r="E331" s="166" t="s">
        <v>1102</v>
      </c>
      <c r="F331" s="166">
        <v>751.44065116284287</v>
      </c>
    </row>
    <row r="332" spans="1:6">
      <c r="A332" s="403">
        <v>1227</v>
      </c>
      <c r="B332" s="403">
        <v>63</v>
      </c>
      <c r="C332" s="166">
        <v>642</v>
      </c>
      <c r="D332" s="166">
        <v>541</v>
      </c>
      <c r="E332" s="166" t="s">
        <v>1102</v>
      </c>
      <c r="F332" s="166">
        <v>751.44065116284287</v>
      </c>
    </row>
    <row r="333" spans="1:6">
      <c r="A333" s="403">
        <v>1228</v>
      </c>
      <c r="B333" s="403">
        <v>63</v>
      </c>
      <c r="C333" s="166">
        <v>642</v>
      </c>
      <c r="D333" s="166">
        <v>541</v>
      </c>
      <c r="E333" s="166" t="s">
        <v>1102</v>
      </c>
      <c r="F333" s="166">
        <v>751.44065116284287</v>
      </c>
    </row>
    <row r="334" spans="1:6">
      <c r="A334" s="403">
        <v>1229</v>
      </c>
      <c r="B334" s="403">
        <v>63</v>
      </c>
      <c r="C334" s="166">
        <v>642</v>
      </c>
      <c r="D334" s="166">
        <v>541</v>
      </c>
      <c r="E334" s="166" t="s">
        <v>1102</v>
      </c>
      <c r="F334" s="166">
        <v>751.44065116284287</v>
      </c>
    </row>
    <row r="335" spans="1:6">
      <c r="A335" s="403">
        <v>1230</v>
      </c>
      <c r="B335" s="403">
        <v>63</v>
      </c>
      <c r="C335" s="166">
        <v>642</v>
      </c>
      <c r="D335" s="166">
        <v>541</v>
      </c>
      <c r="E335" s="166" t="s">
        <v>1102</v>
      </c>
      <c r="F335" s="166">
        <v>751.44065116284287</v>
      </c>
    </row>
    <row r="336" spans="1:6">
      <c r="A336" s="403">
        <v>1231</v>
      </c>
      <c r="B336" s="403">
        <v>63</v>
      </c>
      <c r="C336" s="166">
        <v>642</v>
      </c>
      <c r="D336" s="166">
        <v>541</v>
      </c>
      <c r="E336" s="166" t="s">
        <v>1102</v>
      </c>
      <c r="F336" s="166">
        <v>751.44065116284287</v>
      </c>
    </row>
    <row r="337" spans="1:6">
      <c r="A337" s="403">
        <v>1232</v>
      </c>
      <c r="B337" s="403">
        <v>63</v>
      </c>
      <c r="C337" s="166">
        <v>642</v>
      </c>
      <c r="D337" s="166">
        <v>541</v>
      </c>
      <c r="E337" s="166" t="s">
        <v>1102</v>
      </c>
      <c r="F337" s="166">
        <v>751.44065116284287</v>
      </c>
    </row>
    <row r="338" spans="1:6">
      <c r="A338" s="403">
        <v>1233</v>
      </c>
      <c r="B338" s="403">
        <v>63</v>
      </c>
      <c r="C338" s="166">
        <v>642</v>
      </c>
      <c r="D338" s="166">
        <v>541</v>
      </c>
      <c r="E338" s="166" t="s">
        <v>1102</v>
      </c>
      <c r="F338" s="166">
        <v>751.44065116284287</v>
      </c>
    </row>
    <row r="339" spans="1:6">
      <c r="A339" s="403">
        <v>1234</v>
      </c>
      <c r="B339" s="403">
        <v>63</v>
      </c>
      <c r="C339" s="166">
        <v>642</v>
      </c>
      <c r="D339" s="166">
        <v>541</v>
      </c>
      <c r="E339" s="166" t="s">
        <v>1102</v>
      </c>
      <c r="F339" s="166">
        <v>751.44065116284287</v>
      </c>
    </row>
    <row r="340" spans="1:6">
      <c r="A340" s="403">
        <v>1235</v>
      </c>
      <c r="B340" s="403">
        <v>63</v>
      </c>
      <c r="C340" s="166">
        <v>642</v>
      </c>
      <c r="D340" s="166">
        <v>541</v>
      </c>
      <c r="E340" s="166" t="s">
        <v>1102</v>
      </c>
      <c r="F340" s="166">
        <v>751.44065116284287</v>
      </c>
    </row>
    <row r="341" spans="1:6">
      <c r="A341" s="403">
        <v>1236</v>
      </c>
      <c r="B341" s="403">
        <v>63</v>
      </c>
      <c r="C341" s="166">
        <v>642</v>
      </c>
      <c r="D341" s="166">
        <v>541</v>
      </c>
      <c r="E341" s="166" t="s">
        <v>1102</v>
      </c>
      <c r="F341" s="166">
        <v>751.44065116284287</v>
      </c>
    </row>
    <row r="342" spans="1:6">
      <c r="A342" s="403">
        <v>1237</v>
      </c>
      <c r="B342" s="403">
        <v>63</v>
      </c>
      <c r="C342" s="166">
        <v>642</v>
      </c>
      <c r="D342" s="166">
        <v>541</v>
      </c>
      <c r="E342" s="166" t="s">
        <v>1102</v>
      </c>
      <c r="F342" s="166">
        <v>751.44065116284287</v>
      </c>
    </row>
    <row r="343" spans="1:6">
      <c r="A343" s="403">
        <v>1238</v>
      </c>
      <c r="B343" s="403">
        <v>63</v>
      </c>
      <c r="C343" s="166">
        <v>642</v>
      </c>
      <c r="D343" s="166">
        <v>541</v>
      </c>
      <c r="E343" s="166" t="s">
        <v>1102</v>
      </c>
      <c r="F343" s="166">
        <v>751.44065116284287</v>
      </c>
    </row>
    <row r="344" spans="1:6">
      <c r="A344" s="403">
        <v>1239</v>
      </c>
      <c r="B344" s="403">
        <v>63</v>
      </c>
      <c r="C344" s="166">
        <v>642</v>
      </c>
      <c r="D344" s="166">
        <v>541</v>
      </c>
      <c r="E344" s="166" t="s">
        <v>1102</v>
      </c>
      <c r="F344" s="166">
        <v>751.44065116284287</v>
      </c>
    </row>
    <row r="345" spans="1:6">
      <c r="A345" s="403">
        <v>1240</v>
      </c>
      <c r="B345" s="403">
        <v>63</v>
      </c>
      <c r="C345" s="166">
        <v>642</v>
      </c>
      <c r="D345" s="166">
        <v>541</v>
      </c>
      <c r="E345" s="166" t="s">
        <v>1102</v>
      </c>
      <c r="F345" s="166">
        <v>751.44065116284287</v>
      </c>
    </row>
    <row r="346" spans="1:6">
      <c r="A346" s="403">
        <v>1241</v>
      </c>
      <c r="B346" s="403">
        <v>63</v>
      </c>
      <c r="C346" s="166">
        <v>642</v>
      </c>
      <c r="D346" s="166">
        <v>541</v>
      </c>
      <c r="E346" s="166" t="s">
        <v>1102</v>
      </c>
      <c r="F346" s="166">
        <v>751.44065116284287</v>
      </c>
    </row>
    <row r="347" spans="1:6">
      <c r="A347" s="403">
        <v>1242</v>
      </c>
      <c r="B347" s="403">
        <v>63</v>
      </c>
      <c r="C347" s="166">
        <v>642</v>
      </c>
      <c r="D347" s="166">
        <v>541</v>
      </c>
      <c r="E347" s="166" t="s">
        <v>1102</v>
      </c>
      <c r="F347" s="166">
        <v>751.44065116284287</v>
      </c>
    </row>
    <row r="348" spans="1:6">
      <c r="A348" s="403">
        <v>1243</v>
      </c>
      <c r="B348" s="403">
        <v>63</v>
      </c>
      <c r="C348" s="166">
        <v>642</v>
      </c>
      <c r="D348" s="166">
        <v>541</v>
      </c>
      <c r="E348" s="166" t="s">
        <v>1102</v>
      </c>
      <c r="F348" s="166">
        <v>751.44065116284287</v>
      </c>
    </row>
    <row r="349" spans="1:6">
      <c r="A349" s="403">
        <v>1244</v>
      </c>
      <c r="B349" s="403">
        <v>63</v>
      </c>
      <c r="C349" s="166">
        <v>642</v>
      </c>
      <c r="D349" s="166">
        <v>541</v>
      </c>
      <c r="E349" s="166" t="s">
        <v>1102</v>
      </c>
      <c r="F349" s="166">
        <v>751.44065116284287</v>
      </c>
    </row>
    <row r="350" spans="1:6">
      <c r="A350" s="403">
        <v>1245</v>
      </c>
      <c r="B350" s="403">
        <v>63</v>
      </c>
      <c r="C350" s="166">
        <v>642</v>
      </c>
      <c r="D350" s="166">
        <v>541</v>
      </c>
      <c r="E350" s="166" t="s">
        <v>1102</v>
      </c>
      <c r="F350" s="166">
        <v>751.44065116284287</v>
      </c>
    </row>
    <row r="351" spans="1:6">
      <c r="A351" s="403">
        <v>1246</v>
      </c>
      <c r="B351" s="403">
        <v>63</v>
      </c>
      <c r="C351" s="166">
        <v>642</v>
      </c>
      <c r="D351" s="166">
        <v>541</v>
      </c>
      <c r="E351" s="166" t="s">
        <v>1102</v>
      </c>
      <c r="F351" s="166">
        <v>751.44065116284287</v>
      </c>
    </row>
    <row r="352" spans="1:6">
      <c r="A352" s="403">
        <v>1247</v>
      </c>
      <c r="B352" s="403">
        <v>63</v>
      </c>
      <c r="C352" s="166">
        <v>642</v>
      </c>
      <c r="D352" s="166">
        <v>541</v>
      </c>
      <c r="E352" s="166" t="s">
        <v>1102</v>
      </c>
      <c r="F352" s="166">
        <v>751.44065116284287</v>
      </c>
    </row>
    <row r="353" spans="1:6">
      <c r="A353" s="403">
        <v>1248</v>
      </c>
      <c r="B353" s="403">
        <v>63</v>
      </c>
      <c r="C353" s="166">
        <v>642</v>
      </c>
      <c r="D353" s="166">
        <v>541</v>
      </c>
      <c r="E353" s="166" t="s">
        <v>1102</v>
      </c>
      <c r="F353" s="166">
        <v>751.44065116284287</v>
      </c>
    </row>
    <row r="354" spans="1:6">
      <c r="A354" s="403">
        <v>1249</v>
      </c>
      <c r="B354" s="403">
        <v>63</v>
      </c>
      <c r="C354" s="166">
        <v>642</v>
      </c>
      <c r="D354" s="166">
        <v>541</v>
      </c>
      <c r="E354" s="166" t="s">
        <v>1102</v>
      </c>
      <c r="F354" s="166">
        <v>751.44065116284287</v>
      </c>
    </row>
    <row r="355" spans="1:6">
      <c r="A355" s="403">
        <v>1250</v>
      </c>
      <c r="B355" s="403">
        <v>63</v>
      </c>
      <c r="C355" s="166">
        <v>642</v>
      </c>
      <c r="D355" s="166">
        <v>541</v>
      </c>
      <c r="E355" s="166" t="s">
        <v>1102</v>
      </c>
      <c r="F355" s="166">
        <v>751.44065116284287</v>
      </c>
    </row>
    <row r="356" spans="1:6">
      <c r="A356" s="403">
        <v>1251</v>
      </c>
      <c r="B356" s="403">
        <v>63</v>
      </c>
      <c r="C356" s="166">
        <v>642</v>
      </c>
      <c r="D356" s="166">
        <v>541</v>
      </c>
      <c r="E356" s="166" t="s">
        <v>1102</v>
      </c>
      <c r="F356" s="166">
        <v>751.44065116284287</v>
      </c>
    </row>
    <row r="357" spans="1:6">
      <c r="A357" s="403">
        <v>1252</v>
      </c>
      <c r="B357" s="403">
        <v>63</v>
      </c>
      <c r="C357" s="166">
        <v>642</v>
      </c>
      <c r="D357" s="166">
        <v>541</v>
      </c>
      <c r="E357" s="166" t="s">
        <v>1102</v>
      </c>
      <c r="F357" s="166">
        <v>751.44065116284287</v>
      </c>
    </row>
    <row r="358" spans="1:6">
      <c r="A358" s="403">
        <v>1253</v>
      </c>
      <c r="B358" s="403">
        <v>63</v>
      </c>
      <c r="C358" s="166">
        <v>642</v>
      </c>
      <c r="D358" s="166">
        <v>541</v>
      </c>
      <c r="E358" s="166" t="s">
        <v>1102</v>
      </c>
      <c r="F358" s="166">
        <v>751.44065116284287</v>
      </c>
    </row>
    <row r="359" spans="1:6">
      <c r="A359" s="403">
        <v>1254</v>
      </c>
      <c r="B359" s="403">
        <v>63</v>
      </c>
      <c r="C359" s="166">
        <v>642</v>
      </c>
      <c r="D359" s="166">
        <v>541</v>
      </c>
      <c r="E359" s="166" t="s">
        <v>1102</v>
      </c>
      <c r="F359" s="166">
        <v>751.44065116284287</v>
      </c>
    </row>
    <row r="360" spans="1:6">
      <c r="A360" s="403">
        <v>1255</v>
      </c>
      <c r="B360" s="403">
        <v>63</v>
      </c>
      <c r="C360" s="166">
        <v>642</v>
      </c>
      <c r="D360" s="166">
        <v>541</v>
      </c>
      <c r="E360" s="166" t="s">
        <v>1102</v>
      </c>
      <c r="F360" s="166">
        <v>751.44065116284287</v>
      </c>
    </row>
    <row r="361" spans="1:6">
      <c r="A361" s="403">
        <v>1256</v>
      </c>
      <c r="B361" s="403">
        <v>63</v>
      </c>
      <c r="C361" s="166">
        <v>642</v>
      </c>
      <c r="D361" s="166">
        <v>541</v>
      </c>
      <c r="E361" s="166" t="s">
        <v>1102</v>
      </c>
      <c r="F361" s="166">
        <v>751.44065116284287</v>
      </c>
    </row>
    <row r="362" spans="1:6">
      <c r="A362" s="403">
        <v>1257</v>
      </c>
      <c r="B362" s="403">
        <v>63</v>
      </c>
      <c r="C362" s="166">
        <v>642</v>
      </c>
      <c r="D362" s="166">
        <v>541</v>
      </c>
      <c r="E362" s="166" t="s">
        <v>1102</v>
      </c>
      <c r="F362" s="166">
        <v>751.44065116284287</v>
      </c>
    </row>
    <row r="363" spans="1:6">
      <c r="A363" s="403">
        <v>1258</v>
      </c>
      <c r="B363" s="403">
        <v>63</v>
      </c>
      <c r="C363" s="166">
        <v>642</v>
      </c>
      <c r="D363" s="166">
        <v>541</v>
      </c>
      <c r="E363" s="166" t="s">
        <v>1102</v>
      </c>
      <c r="F363" s="166">
        <v>751.44065116284287</v>
      </c>
    </row>
    <row r="364" spans="1:6">
      <c r="A364" s="403">
        <v>1259</v>
      </c>
      <c r="B364" s="403">
        <v>63</v>
      </c>
      <c r="C364" s="166">
        <v>642</v>
      </c>
      <c r="D364" s="166">
        <v>541</v>
      </c>
      <c r="E364" s="166" t="s">
        <v>1102</v>
      </c>
      <c r="F364" s="166">
        <v>751.44065116284287</v>
      </c>
    </row>
    <row r="365" spans="1:6">
      <c r="A365" s="403">
        <v>1260</v>
      </c>
      <c r="B365" s="403">
        <v>63</v>
      </c>
      <c r="C365" s="166">
        <v>642</v>
      </c>
      <c r="D365" s="166">
        <v>541</v>
      </c>
      <c r="E365" s="166" t="s">
        <v>1102</v>
      </c>
      <c r="F365" s="166">
        <v>751.44065116284287</v>
      </c>
    </row>
    <row r="366" spans="1:6">
      <c r="A366" s="403">
        <v>1262</v>
      </c>
      <c r="B366" s="403">
        <v>63</v>
      </c>
      <c r="C366" s="166">
        <v>642</v>
      </c>
      <c r="D366" s="166">
        <v>541</v>
      </c>
      <c r="E366" s="166" t="s">
        <v>1102</v>
      </c>
      <c r="F366" s="166">
        <v>751.44065116284287</v>
      </c>
    </row>
    <row r="367" spans="1:6">
      <c r="A367" s="403">
        <v>1263</v>
      </c>
      <c r="B367" s="403">
        <v>63</v>
      </c>
      <c r="C367" s="166">
        <v>642</v>
      </c>
      <c r="D367" s="166">
        <v>541</v>
      </c>
      <c r="E367" s="166" t="s">
        <v>1102</v>
      </c>
      <c r="F367" s="166">
        <v>751.44065116284287</v>
      </c>
    </row>
    <row r="368" spans="1:6">
      <c r="A368" s="403">
        <v>1264</v>
      </c>
      <c r="B368" s="403">
        <v>63</v>
      </c>
      <c r="C368" s="166">
        <v>642</v>
      </c>
      <c r="D368" s="166">
        <v>541</v>
      </c>
      <c r="E368" s="166" t="s">
        <v>1102</v>
      </c>
      <c r="F368" s="166">
        <v>751.44065116284287</v>
      </c>
    </row>
    <row r="369" spans="1:6">
      <c r="A369" s="403">
        <v>1265</v>
      </c>
      <c r="B369" s="403">
        <v>63</v>
      </c>
      <c r="C369" s="166">
        <v>642</v>
      </c>
      <c r="D369" s="166">
        <v>541</v>
      </c>
      <c r="E369" s="166" t="s">
        <v>1102</v>
      </c>
      <c r="F369" s="166">
        <v>751.44065116284287</v>
      </c>
    </row>
    <row r="370" spans="1:6">
      <c r="A370" s="403">
        <v>1266</v>
      </c>
      <c r="B370" s="403">
        <v>63</v>
      </c>
      <c r="C370" s="166">
        <v>642</v>
      </c>
      <c r="D370" s="166">
        <v>541</v>
      </c>
      <c r="E370" s="166" t="s">
        <v>1102</v>
      </c>
      <c r="F370" s="166">
        <v>751.44065116284287</v>
      </c>
    </row>
    <row r="371" spans="1:6">
      <c r="A371" s="403">
        <v>1267</v>
      </c>
      <c r="B371" s="403">
        <v>63</v>
      </c>
      <c r="C371" s="166">
        <v>642</v>
      </c>
      <c r="D371" s="166">
        <v>541</v>
      </c>
      <c r="E371" s="166" t="s">
        <v>1102</v>
      </c>
      <c r="F371" s="166">
        <v>751.44065116284287</v>
      </c>
    </row>
    <row r="372" spans="1:6">
      <c r="A372" s="403">
        <v>1268</v>
      </c>
      <c r="B372" s="403">
        <v>63</v>
      </c>
      <c r="C372" s="166">
        <v>642</v>
      </c>
      <c r="D372" s="166">
        <v>541</v>
      </c>
      <c r="E372" s="166" t="s">
        <v>1102</v>
      </c>
      <c r="F372" s="166">
        <v>751.44065116284287</v>
      </c>
    </row>
    <row r="373" spans="1:6">
      <c r="A373" s="403">
        <v>1269</v>
      </c>
      <c r="B373" s="403">
        <v>63</v>
      </c>
      <c r="C373" s="166">
        <v>642</v>
      </c>
      <c r="D373" s="166">
        <v>541</v>
      </c>
      <c r="E373" s="166" t="s">
        <v>1102</v>
      </c>
      <c r="F373" s="166">
        <v>751.44065116284287</v>
      </c>
    </row>
    <row r="374" spans="1:6">
      <c r="A374" s="403">
        <v>1270</v>
      </c>
      <c r="B374" s="403">
        <v>63</v>
      </c>
      <c r="C374" s="166">
        <v>642</v>
      </c>
      <c r="D374" s="166">
        <v>541</v>
      </c>
      <c r="E374" s="166" t="s">
        <v>1102</v>
      </c>
      <c r="F374" s="166">
        <v>751.44065116284287</v>
      </c>
    </row>
    <row r="375" spans="1:6">
      <c r="A375" s="403">
        <v>1272</v>
      </c>
      <c r="B375" s="403">
        <v>63</v>
      </c>
      <c r="C375" s="166">
        <v>642</v>
      </c>
      <c r="D375" s="166">
        <v>541</v>
      </c>
      <c r="E375" s="166" t="s">
        <v>1102</v>
      </c>
      <c r="F375" s="166">
        <v>751.44065116284287</v>
      </c>
    </row>
    <row r="376" spans="1:6">
      <c r="A376" s="403">
        <v>1273</v>
      </c>
      <c r="B376" s="403">
        <v>63</v>
      </c>
      <c r="C376" s="166">
        <v>642</v>
      </c>
      <c r="D376" s="166">
        <v>541</v>
      </c>
      <c r="E376" s="166" t="s">
        <v>1102</v>
      </c>
      <c r="F376" s="166">
        <v>751.44065116284287</v>
      </c>
    </row>
    <row r="377" spans="1:6">
      <c r="A377" s="403">
        <v>1274</v>
      </c>
      <c r="B377" s="403">
        <v>63</v>
      </c>
      <c r="C377" s="166">
        <v>642</v>
      </c>
      <c r="D377" s="166">
        <v>541</v>
      </c>
      <c r="E377" s="166" t="s">
        <v>1102</v>
      </c>
      <c r="F377" s="166">
        <v>751.44065116284287</v>
      </c>
    </row>
    <row r="378" spans="1:6">
      <c r="A378" s="403">
        <v>1275</v>
      </c>
      <c r="B378" s="403">
        <v>63</v>
      </c>
      <c r="C378" s="166">
        <v>642</v>
      </c>
      <c r="D378" s="166">
        <v>541</v>
      </c>
      <c r="E378" s="166" t="s">
        <v>1102</v>
      </c>
      <c r="F378" s="166">
        <v>751.44065116284287</v>
      </c>
    </row>
    <row r="379" spans="1:6">
      <c r="A379" s="403">
        <v>1276</v>
      </c>
      <c r="B379" s="403">
        <v>63</v>
      </c>
      <c r="C379" s="166">
        <v>642</v>
      </c>
      <c r="D379" s="166">
        <v>541</v>
      </c>
      <c r="E379" s="166" t="s">
        <v>1102</v>
      </c>
      <c r="F379" s="166">
        <v>751.44065116284287</v>
      </c>
    </row>
    <row r="380" spans="1:6">
      <c r="A380" s="403">
        <v>1277</v>
      </c>
      <c r="B380" s="403">
        <v>63</v>
      </c>
      <c r="C380" s="166">
        <v>642</v>
      </c>
      <c r="D380" s="166">
        <v>541</v>
      </c>
      <c r="E380" s="166" t="s">
        <v>1102</v>
      </c>
      <c r="F380" s="166">
        <v>751.44065116284287</v>
      </c>
    </row>
    <row r="381" spans="1:6">
      <c r="A381" s="403">
        <v>1278</v>
      </c>
      <c r="B381" s="403">
        <v>63</v>
      </c>
      <c r="C381" s="166">
        <v>642</v>
      </c>
      <c r="D381" s="166">
        <v>541</v>
      </c>
      <c r="E381" s="166" t="s">
        <v>1102</v>
      </c>
      <c r="F381" s="166">
        <v>751.44065116284287</v>
      </c>
    </row>
    <row r="382" spans="1:6">
      <c r="A382" s="403">
        <v>1279</v>
      </c>
      <c r="B382" s="403">
        <v>63</v>
      </c>
      <c r="C382" s="166">
        <v>642</v>
      </c>
      <c r="D382" s="166">
        <v>541</v>
      </c>
      <c r="E382" s="166" t="s">
        <v>1102</v>
      </c>
      <c r="F382" s="166">
        <v>751.44065116284287</v>
      </c>
    </row>
    <row r="383" spans="1:6">
      <c r="A383" s="403">
        <v>1280</v>
      </c>
      <c r="B383" s="403">
        <v>63</v>
      </c>
      <c r="C383" s="166">
        <v>642</v>
      </c>
      <c r="D383" s="166">
        <v>541</v>
      </c>
      <c r="E383" s="166" t="s">
        <v>1102</v>
      </c>
      <c r="F383" s="166">
        <v>751.44065116284287</v>
      </c>
    </row>
    <row r="384" spans="1:6">
      <c r="A384" s="403">
        <v>1281</v>
      </c>
      <c r="B384" s="403">
        <v>63</v>
      </c>
      <c r="C384" s="166">
        <v>642</v>
      </c>
      <c r="D384" s="166">
        <v>541</v>
      </c>
      <c r="E384" s="166" t="s">
        <v>1102</v>
      </c>
      <c r="F384" s="166">
        <v>751.44065116284287</v>
      </c>
    </row>
    <row r="385" spans="1:6">
      <c r="A385" s="403">
        <v>1282</v>
      </c>
      <c r="B385" s="403">
        <v>63</v>
      </c>
      <c r="C385" s="166">
        <v>642</v>
      </c>
      <c r="D385" s="166">
        <v>541</v>
      </c>
      <c r="E385" s="166" t="s">
        <v>1102</v>
      </c>
      <c r="F385" s="166">
        <v>751.44065116284287</v>
      </c>
    </row>
    <row r="386" spans="1:6">
      <c r="A386" s="403">
        <v>1283</v>
      </c>
      <c r="B386" s="403">
        <v>63</v>
      </c>
      <c r="C386" s="166">
        <v>642</v>
      </c>
      <c r="D386" s="166">
        <v>541</v>
      </c>
      <c r="E386" s="166" t="s">
        <v>1102</v>
      </c>
      <c r="F386" s="166">
        <v>751.44065116284287</v>
      </c>
    </row>
    <row r="387" spans="1:6">
      <c r="A387" s="403">
        <v>1284</v>
      </c>
      <c r="B387" s="403">
        <v>63</v>
      </c>
      <c r="C387" s="166">
        <v>642</v>
      </c>
      <c r="D387" s="166">
        <v>541</v>
      </c>
      <c r="E387" s="166" t="s">
        <v>1102</v>
      </c>
      <c r="F387" s="166">
        <v>751.44065116284287</v>
      </c>
    </row>
    <row r="388" spans="1:6">
      <c r="A388" s="403">
        <v>1285</v>
      </c>
      <c r="B388" s="403">
        <v>63</v>
      </c>
      <c r="C388" s="166">
        <v>642</v>
      </c>
      <c r="D388" s="166">
        <v>541</v>
      </c>
      <c r="E388" s="166" t="s">
        <v>1102</v>
      </c>
      <c r="F388" s="166">
        <v>751.44065116284287</v>
      </c>
    </row>
    <row r="389" spans="1:6">
      <c r="A389" s="403">
        <v>1286</v>
      </c>
      <c r="B389" s="403">
        <v>63</v>
      </c>
      <c r="C389" s="166">
        <v>642</v>
      </c>
      <c r="D389" s="166">
        <v>541</v>
      </c>
      <c r="E389" s="166" t="s">
        <v>1102</v>
      </c>
      <c r="F389" s="166">
        <v>751.44065116284287</v>
      </c>
    </row>
    <row r="390" spans="1:6">
      <c r="A390" s="403">
        <v>1287</v>
      </c>
      <c r="B390" s="403">
        <v>63</v>
      </c>
      <c r="C390" s="166">
        <v>642</v>
      </c>
      <c r="D390" s="166">
        <v>541</v>
      </c>
      <c r="E390" s="166" t="s">
        <v>1102</v>
      </c>
      <c r="F390" s="166">
        <v>751.44065116284287</v>
      </c>
    </row>
    <row r="391" spans="1:6">
      <c r="A391" s="403">
        <v>1288</v>
      </c>
      <c r="B391" s="403">
        <v>63</v>
      </c>
      <c r="C391" s="166">
        <v>642</v>
      </c>
      <c r="D391" s="166">
        <v>541</v>
      </c>
      <c r="E391" s="166" t="s">
        <v>1102</v>
      </c>
      <c r="F391" s="166">
        <v>751.44065116284287</v>
      </c>
    </row>
    <row r="392" spans="1:6">
      <c r="A392" s="403">
        <v>1289</v>
      </c>
      <c r="B392" s="403">
        <v>63</v>
      </c>
      <c r="C392" s="166">
        <v>642</v>
      </c>
      <c r="D392" s="166">
        <v>541</v>
      </c>
      <c r="E392" s="166" t="s">
        <v>1102</v>
      </c>
      <c r="F392" s="166">
        <v>751.44065116284287</v>
      </c>
    </row>
    <row r="393" spans="1:6">
      <c r="A393" s="403">
        <v>1290</v>
      </c>
      <c r="B393" s="403">
        <v>63</v>
      </c>
      <c r="C393" s="166">
        <v>642</v>
      </c>
      <c r="D393" s="166">
        <v>541</v>
      </c>
      <c r="E393" s="166" t="s">
        <v>1102</v>
      </c>
      <c r="F393" s="166">
        <v>751.44065116284287</v>
      </c>
    </row>
    <row r="394" spans="1:6">
      <c r="A394" s="403">
        <v>1291</v>
      </c>
      <c r="B394" s="403">
        <v>63</v>
      </c>
      <c r="C394" s="166">
        <v>642</v>
      </c>
      <c r="D394" s="166">
        <v>541</v>
      </c>
      <c r="E394" s="166" t="s">
        <v>1102</v>
      </c>
      <c r="F394" s="166">
        <v>751.44065116284287</v>
      </c>
    </row>
    <row r="395" spans="1:6">
      <c r="A395" s="403">
        <v>1292</v>
      </c>
      <c r="B395" s="403">
        <v>63</v>
      </c>
      <c r="C395" s="166">
        <v>642</v>
      </c>
      <c r="D395" s="166">
        <v>541</v>
      </c>
      <c r="E395" s="166" t="s">
        <v>1102</v>
      </c>
      <c r="F395" s="166">
        <v>751.44065116284287</v>
      </c>
    </row>
    <row r="396" spans="1:6">
      <c r="A396" s="403">
        <v>1293</v>
      </c>
      <c r="B396" s="403">
        <v>63</v>
      </c>
      <c r="C396" s="166">
        <v>642</v>
      </c>
      <c r="D396" s="166">
        <v>541</v>
      </c>
      <c r="E396" s="166" t="s">
        <v>1102</v>
      </c>
      <c r="F396" s="166">
        <v>751.44065116284287</v>
      </c>
    </row>
    <row r="397" spans="1:6">
      <c r="A397" s="403">
        <v>1294</v>
      </c>
      <c r="B397" s="403">
        <v>63</v>
      </c>
      <c r="C397" s="166">
        <v>642</v>
      </c>
      <c r="D397" s="166">
        <v>541</v>
      </c>
      <c r="E397" s="166" t="s">
        <v>1102</v>
      </c>
      <c r="F397" s="166">
        <v>751.44065116284287</v>
      </c>
    </row>
    <row r="398" spans="1:6">
      <c r="A398" s="403">
        <v>1295</v>
      </c>
      <c r="B398" s="403">
        <v>63</v>
      </c>
      <c r="C398" s="166">
        <v>642</v>
      </c>
      <c r="D398" s="166">
        <v>541</v>
      </c>
      <c r="E398" s="166" t="s">
        <v>1102</v>
      </c>
      <c r="F398" s="166">
        <v>751.44065116284287</v>
      </c>
    </row>
    <row r="399" spans="1:6">
      <c r="A399" s="403">
        <v>1296</v>
      </c>
      <c r="B399" s="403">
        <v>63</v>
      </c>
      <c r="C399" s="166">
        <v>642</v>
      </c>
      <c r="D399" s="166">
        <v>541</v>
      </c>
      <c r="E399" s="166" t="s">
        <v>1102</v>
      </c>
      <c r="F399" s="166">
        <v>751.44065116284287</v>
      </c>
    </row>
    <row r="400" spans="1:6">
      <c r="A400" s="403">
        <v>1297</v>
      </c>
      <c r="B400" s="403">
        <v>63</v>
      </c>
      <c r="C400" s="166">
        <v>642</v>
      </c>
      <c r="D400" s="166">
        <v>541</v>
      </c>
      <c r="E400" s="166" t="s">
        <v>1102</v>
      </c>
      <c r="F400" s="166">
        <v>751.44065116284287</v>
      </c>
    </row>
    <row r="401" spans="1:6">
      <c r="A401" s="403">
        <v>1298</v>
      </c>
      <c r="B401" s="403">
        <v>63</v>
      </c>
      <c r="C401" s="166">
        <v>642</v>
      </c>
      <c r="D401" s="166">
        <v>541</v>
      </c>
      <c r="E401" s="166" t="s">
        <v>1102</v>
      </c>
      <c r="F401" s="166">
        <v>751.44065116284287</v>
      </c>
    </row>
    <row r="402" spans="1:6">
      <c r="A402" s="403">
        <v>1299</v>
      </c>
      <c r="B402" s="403">
        <v>63</v>
      </c>
      <c r="C402" s="166">
        <v>642</v>
      </c>
      <c r="D402" s="166">
        <v>541</v>
      </c>
      <c r="E402" s="166" t="s">
        <v>1102</v>
      </c>
      <c r="F402" s="166">
        <v>751.44065116284287</v>
      </c>
    </row>
    <row r="403" spans="1:6">
      <c r="A403" s="403">
        <v>1300</v>
      </c>
      <c r="B403" s="403">
        <v>63</v>
      </c>
      <c r="C403" s="166">
        <v>642</v>
      </c>
      <c r="D403" s="166">
        <v>541</v>
      </c>
      <c r="E403" s="166" t="s">
        <v>1102</v>
      </c>
      <c r="F403" s="166">
        <v>751.44065116284287</v>
      </c>
    </row>
    <row r="404" spans="1:6">
      <c r="A404" s="403">
        <v>1301</v>
      </c>
      <c r="B404" s="403">
        <v>63</v>
      </c>
      <c r="C404" s="166">
        <v>642</v>
      </c>
      <c r="D404" s="166">
        <v>541</v>
      </c>
      <c r="E404" s="166" t="s">
        <v>1102</v>
      </c>
      <c r="F404" s="166">
        <v>751.44065116284287</v>
      </c>
    </row>
    <row r="405" spans="1:6">
      <c r="A405" s="403">
        <v>1302</v>
      </c>
      <c r="B405" s="403">
        <v>63</v>
      </c>
      <c r="C405" s="166">
        <v>642</v>
      </c>
      <c r="D405" s="166">
        <v>541</v>
      </c>
      <c r="E405" s="166" t="s">
        <v>1102</v>
      </c>
      <c r="F405" s="166">
        <v>751.44065116284287</v>
      </c>
    </row>
    <row r="406" spans="1:6">
      <c r="A406" s="403">
        <v>1303</v>
      </c>
      <c r="B406" s="403">
        <v>63</v>
      </c>
      <c r="C406" s="166">
        <v>642</v>
      </c>
      <c r="D406" s="166">
        <v>541</v>
      </c>
      <c r="E406" s="166" t="s">
        <v>1102</v>
      </c>
      <c r="F406" s="166">
        <v>751.44065116284287</v>
      </c>
    </row>
    <row r="407" spans="1:6">
      <c r="A407" s="403">
        <v>1304</v>
      </c>
      <c r="B407" s="403">
        <v>63</v>
      </c>
      <c r="C407" s="166">
        <v>642</v>
      </c>
      <c r="D407" s="166">
        <v>541</v>
      </c>
      <c r="E407" s="166" t="s">
        <v>1102</v>
      </c>
      <c r="F407" s="166">
        <v>751.44065116284287</v>
      </c>
    </row>
    <row r="408" spans="1:6">
      <c r="A408" s="403">
        <v>1305</v>
      </c>
      <c r="B408" s="403">
        <v>63</v>
      </c>
      <c r="C408" s="166">
        <v>642</v>
      </c>
      <c r="D408" s="166">
        <v>541</v>
      </c>
      <c r="E408" s="166" t="s">
        <v>1102</v>
      </c>
      <c r="F408" s="166">
        <v>751.44065116284287</v>
      </c>
    </row>
    <row r="409" spans="1:6">
      <c r="A409" s="403">
        <v>1306</v>
      </c>
      <c r="B409" s="403">
        <v>63</v>
      </c>
      <c r="C409" s="166">
        <v>642</v>
      </c>
      <c r="D409" s="166">
        <v>541</v>
      </c>
      <c r="E409" s="166" t="s">
        <v>1102</v>
      </c>
      <c r="F409" s="166">
        <v>751.44065116284287</v>
      </c>
    </row>
    <row r="410" spans="1:6">
      <c r="A410" s="403">
        <v>1307</v>
      </c>
      <c r="B410" s="403">
        <v>63</v>
      </c>
      <c r="C410" s="166">
        <v>642</v>
      </c>
      <c r="D410" s="166">
        <v>541</v>
      </c>
      <c r="E410" s="166" t="s">
        <v>1102</v>
      </c>
      <c r="F410" s="166">
        <v>751.44065116284287</v>
      </c>
    </row>
    <row r="411" spans="1:6">
      <c r="A411" s="403">
        <v>1308</v>
      </c>
      <c r="B411" s="403">
        <v>63</v>
      </c>
      <c r="C411" s="166">
        <v>642</v>
      </c>
      <c r="D411" s="166">
        <v>541</v>
      </c>
      <c r="E411" s="166" t="s">
        <v>1102</v>
      </c>
      <c r="F411" s="166">
        <v>751.44065116284287</v>
      </c>
    </row>
    <row r="412" spans="1:6">
      <c r="A412" s="403">
        <v>1309</v>
      </c>
      <c r="B412" s="403">
        <v>63</v>
      </c>
      <c r="C412" s="166">
        <v>642</v>
      </c>
      <c r="D412" s="166">
        <v>541</v>
      </c>
      <c r="E412" s="166" t="s">
        <v>1102</v>
      </c>
      <c r="F412" s="166">
        <v>751.44065116284287</v>
      </c>
    </row>
    <row r="413" spans="1:6">
      <c r="A413" s="403">
        <v>1310</v>
      </c>
      <c r="B413" s="403">
        <v>63</v>
      </c>
      <c r="C413" s="166">
        <v>642</v>
      </c>
      <c r="D413" s="166">
        <v>541</v>
      </c>
      <c r="E413" s="166" t="s">
        <v>1102</v>
      </c>
      <c r="F413" s="166">
        <v>751.44065116284287</v>
      </c>
    </row>
    <row r="414" spans="1:6">
      <c r="A414" s="403">
        <v>1311</v>
      </c>
      <c r="B414" s="403">
        <v>63</v>
      </c>
      <c r="C414" s="166">
        <v>642</v>
      </c>
      <c r="D414" s="166">
        <v>541</v>
      </c>
      <c r="E414" s="166" t="s">
        <v>1102</v>
      </c>
      <c r="F414" s="166">
        <v>751.44065116284287</v>
      </c>
    </row>
    <row r="415" spans="1:6">
      <c r="A415" s="403">
        <v>1312</v>
      </c>
      <c r="B415" s="403">
        <v>63</v>
      </c>
      <c r="C415" s="166">
        <v>642</v>
      </c>
      <c r="D415" s="166">
        <v>541</v>
      </c>
      <c r="E415" s="166" t="s">
        <v>1102</v>
      </c>
      <c r="F415" s="166">
        <v>751.44065116284287</v>
      </c>
    </row>
    <row r="416" spans="1:6">
      <c r="A416" s="403">
        <v>1313</v>
      </c>
      <c r="B416" s="403">
        <v>63</v>
      </c>
      <c r="C416" s="166">
        <v>642</v>
      </c>
      <c r="D416" s="166">
        <v>541</v>
      </c>
      <c r="E416" s="166" t="s">
        <v>1102</v>
      </c>
      <c r="F416" s="166">
        <v>751.44065116284287</v>
      </c>
    </row>
    <row r="417" spans="1:6">
      <c r="A417" s="403">
        <v>1314</v>
      </c>
      <c r="B417" s="403">
        <v>63</v>
      </c>
      <c r="C417" s="166">
        <v>642</v>
      </c>
      <c r="D417" s="166">
        <v>541</v>
      </c>
      <c r="E417" s="166" t="s">
        <v>1102</v>
      </c>
      <c r="F417" s="166">
        <v>751.44065116284287</v>
      </c>
    </row>
    <row r="418" spans="1:6">
      <c r="A418" s="403">
        <v>1315</v>
      </c>
      <c r="B418" s="403">
        <v>63</v>
      </c>
      <c r="C418" s="166">
        <v>642</v>
      </c>
      <c r="D418" s="166">
        <v>541</v>
      </c>
      <c r="E418" s="166" t="s">
        <v>1102</v>
      </c>
      <c r="F418" s="166">
        <v>751.44065116284287</v>
      </c>
    </row>
    <row r="419" spans="1:6">
      <c r="A419" s="403">
        <v>1316</v>
      </c>
      <c r="B419" s="403">
        <v>63</v>
      </c>
      <c r="C419" s="166">
        <v>642</v>
      </c>
      <c r="D419" s="166">
        <v>541</v>
      </c>
      <c r="E419" s="166" t="s">
        <v>1102</v>
      </c>
      <c r="F419" s="166">
        <v>751.44065116284287</v>
      </c>
    </row>
    <row r="420" spans="1:6">
      <c r="A420" s="403">
        <v>1317</v>
      </c>
      <c r="B420" s="403">
        <v>63</v>
      </c>
      <c r="C420" s="166">
        <v>642</v>
      </c>
      <c r="D420" s="166">
        <v>541</v>
      </c>
      <c r="E420" s="166" t="s">
        <v>1102</v>
      </c>
      <c r="F420" s="166">
        <v>751.44065116284287</v>
      </c>
    </row>
    <row r="421" spans="1:6">
      <c r="A421" s="403">
        <v>1318</v>
      </c>
      <c r="B421" s="403">
        <v>63</v>
      </c>
      <c r="C421" s="166">
        <v>642</v>
      </c>
      <c r="D421" s="166">
        <v>541</v>
      </c>
      <c r="E421" s="166" t="s">
        <v>1102</v>
      </c>
      <c r="F421" s="166">
        <v>751.44065116284287</v>
      </c>
    </row>
    <row r="422" spans="1:6">
      <c r="A422" s="403">
        <v>1319</v>
      </c>
      <c r="B422" s="403">
        <v>63</v>
      </c>
      <c r="C422" s="166">
        <v>642</v>
      </c>
      <c r="D422" s="166">
        <v>541</v>
      </c>
      <c r="E422" s="166" t="s">
        <v>1102</v>
      </c>
      <c r="F422" s="166">
        <v>751.44065116284287</v>
      </c>
    </row>
    <row r="423" spans="1:6">
      <c r="A423" s="403">
        <v>1320</v>
      </c>
      <c r="B423" s="403">
        <v>63</v>
      </c>
      <c r="C423" s="166">
        <v>642</v>
      </c>
      <c r="D423" s="166">
        <v>541</v>
      </c>
      <c r="E423" s="166" t="s">
        <v>1102</v>
      </c>
      <c r="F423" s="166">
        <v>751.44065116284287</v>
      </c>
    </row>
    <row r="424" spans="1:6">
      <c r="A424" s="403">
        <v>1321</v>
      </c>
      <c r="B424" s="403">
        <v>63</v>
      </c>
      <c r="C424" s="166">
        <v>642</v>
      </c>
      <c r="D424" s="166">
        <v>541</v>
      </c>
      <c r="E424" s="166" t="s">
        <v>1102</v>
      </c>
      <c r="F424" s="166">
        <v>751.44065116284287</v>
      </c>
    </row>
    <row r="425" spans="1:6">
      <c r="A425" s="403">
        <v>1322</v>
      </c>
      <c r="B425" s="403">
        <v>63</v>
      </c>
      <c r="C425" s="166">
        <v>642</v>
      </c>
      <c r="D425" s="166">
        <v>541</v>
      </c>
      <c r="E425" s="166" t="s">
        <v>1102</v>
      </c>
      <c r="F425" s="166">
        <v>751.44065116284287</v>
      </c>
    </row>
    <row r="426" spans="1:6">
      <c r="A426" s="403">
        <v>1323</v>
      </c>
      <c r="B426" s="403">
        <v>63</v>
      </c>
      <c r="C426" s="166">
        <v>642</v>
      </c>
      <c r="D426" s="166">
        <v>541</v>
      </c>
      <c r="E426" s="166" t="s">
        <v>1102</v>
      </c>
      <c r="F426" s="166">
        <v>751.44065116284287</v>
      </c>
    </row>
    <row r="427" spans="1:6">
      <c r="A427" s="403">
        <v>1324</v>
      </c>
      <c r="B427" s="403">
        <v>63</v>
      </c>
      <c r="C427" s="166">
        <v>642</v>
      </c>
      <c r="D427" s="166">
        <v>541</v>
      </c>
      <c r="E427" s="166" t="s">
        <v>1102</v>
      </c>
      <c r="F427" s="166">
        <v>751.44065116284287</v>
      </c>
    </row>
    <row r="428" spans="1:6">
      <c r="A428" s="403">
        <v>1325</v>
      </c>
      <c r="B428" s="403">
        <v>63</v>
      </c>
      <c r="C428" s="166">
        <v>642</v>
      </c>
      <c r="D428" s="166">
        <v>541</v>
      </c>
      <c r="E428" s="166" t="s">
        <v>1102</v>
      </c>
      <c r="F428" s="166">
        <v>751.44065116284287</v>
      </c>
    </row>
    <row r="429" spans="1:6">
      <c r="A429" s="403">
        <v>1326</v>
      </c>
      <c r="B429" s="403">
        <v>63</v>
      </c>
      <c r="C429" s="166">
        <v>642</v>
      </c>
      <c r="D429" s="166">
        <v>541</v>
      </c>
      <c r="E429" s="166" t="s">
        <v>1102</v>
      </c>
      <c r="F429" s="166">
        <v>751.44065116284287</v>
      </c>
    </row>
    <row r="430" spans="1:6">
      <c r="A430" s="403">
        <v>1327</v>
      </c>
      <c r="B430" s="403">
        <v>63</v>
      </c>
      <c r="C430" s="166">
        <v>642</v>
      </c>
      <c r="D430" s="166">
        <v>541</v>
      </c>
      <c r="E430" s="166" t="s">
        <v>1102</v>
      </c>
      <c r="F430" s="166">
        <v>751.44065116284287</v>
      </c>
    </row>
    <row r="431" spans="1:6">
      <c r="A431" s="403">
        <v>1328</v>
      </c>
      <c r="B431" s="403">
        <v>63</v>
      </c>
      <c r="C431" s="166">
        <v>642</v>
      </c>
      <c r="D431" s="166">
        <v>541</v>
      </c>
      <c r="E431" s="166" t="s">
        <v>1102</v>
      </c>
      <c r="F431" s="166">
        <v>751.44065116284287</v>
      </c>
    </row>
    <row r="432" spans="1:6">
      <c r="A432" s="403">
        <v>1329</v>
      </c>
      <c r="B432" s="403">
        <v>63</v>
      </c>
      <c r="C432" s="166">
        <v>642</v>
      </c>
      <c r="D432" s="166">
        <v>541</v>
      </c>
      <c r="E432" s="166" t="s">
        <v>1102</v>
      </c>
      <c r="F432" s="166">
        <v>751.44065116284287</v>
      </c>
    </row>
    <row r="433" spans="1:6">
      <c r="A433" s="403">
        <v>1330</v>
      </c>
      <c r="B433" s="403">
        <v>63</v>
      </c>
      <c r="C433" s="166">
        <v>642</v>
      </c>
      <c r="D433" s="166">
        <v>541</v>
      </c>
      <c r="E433" s="166" t="s">
        <v>1102</v>
      </c>
      <c r="F433" s="166">
        <v>751.44065116284287</v>
      </c>
    </row>
    <row r="434" spans="1:6">
      <c r="A434" s="403">
        <v>1331</v>
      </c>
      <c r="B434" s="403">
        <v>63</v>
      </c>
      <c r="C434" s="166">
        <v>642</v>
      </c>
      <c r="D434" s="166">
        <v>541</v>
      </c>
      <c r="E434" s="166" t="s">
        <v>1102</v>
      </c>
      <c r="F434" s="166">
        <v>751.44065116284287</v>
      </c>
    </row>
    <row r="435" spans="1:6">
      <c r="A435" s="403">
        <v>1332</v>
      </c>
      <c r="B435" s="403">
        <v>63</v>
      </c>
      <c r="C435" s="166">
        <v>642</v>
      </c>
      <c r="D435" s="166">
        <v>541</v>
      </c>
      <c r="E435" s="166" t="s">
        <v>1102</v>
      </c>
      <c r="F435" s="166">
        <v>751.44065116284287</v>
      </c>
    </row>
    <row r="436" spans="1:6">
      <c r="A436" s="403">
        <v>1333</v>
      </c>
      <c r="B436" s="403">
        <v>63</v>
      </c>
      <c r="C436" s="166">
        <v>642</v>
      </c>
      <c r="D436" s="166">
        <v>541</v>
      </c>
      <c r="E436" s="166" t="s">
        <v>1102</v>
      </c>
      <c r="F436" s="166">
        <v>751.44065116284287</v>
      </c>
    </row>
    <row r="437" spans="1:6">
      <c r="A437" s="403">
        <v>1334</v>
      </c>
      <c r="B437" s="403">
        <v>63</v>
      </c>
      <c r="C437" s="166">
        <v>642</v>
      </c>
      <c r="D437" s="166">
        <v>541</v>
      </c>
      <c r="E437" s="166" t="s">
        <v>1102</v>
      </c>
      <c r="F437" s="166">
        <v>751.44065116284287</v>
      </c>
    </row>
    <row r="438" spans="1:6">
      <c r="A438" s="403">
        <v>1335</v>
      </c>
      <c r="B438" s="403">
        <v>63</v>
      </c>
      <c r="C438" s="166">
        <v>642</v>
      </c>
      <c r="D438" s="166">
        <v>541</v>
      </c>
      <c r="E438" s="166" t="s">
        <v>1102</v>
      </c>
      <c r="F438" s="166">
        <v>751.44065116284287</v>
      </c>
    </row>
    <row r="439" spans="1:6">
      <c r="A439" s="403">
        <v>1336</v>
      </c>
      <c r="B439" s="403">
        <v>63</v>
      </c>
      <c r="C439" s="166">
        <v>642</v>
      </c>
      <c r="D439" s="166">
        <v>541</v>
      </c>
      <c r="E439" s="166" t="s">
        <v>1102</v>
      </c>
      <c r="F439" s="166">
        <v>751.44065116284287</v>
      </c>
    </row>
    <row r="440" spans="1:6">
      <c r="A440" s="403">
        <v>1337</v>
      </c>
      <c r="B440" s="403">
        <v>63</v>
      </c>
      <c r="C440" s="166">
        <v>642</v>
      </c>
      <c r="D440" s="166">
        <v>541</v>
      </c>
      <c r="E440" s="166" t="s">
        <v>1102</v>
      </c>
      <c r="F440" s="166">
        <v>751.44065116284287</v>
      </c>
    </row>
    <row r="441" spans="1:6">
      <c r="A441" s="403">
        <v>1338</v>
      </c>
      <c r="B441" s="403">
        <v>63</v>
      </c>
      <c r="C441" s="166">
        <v>642</v>
      </c>
      <c r="D441" s="166">
        <v>541</v>
      </c>
      <c r="E441" s="166" t="s">
        <v>1102</v>
      </c>
      <c r="F441" s="166">
        <v>751.44065116284287</v>
      </c>
    </row>
    <row r="442" spans="1:6">
      <c r="A442" s="403">
        <v>1339</v>
      </c>
      <c r="B442" s="403">
        <v>63</v>
      </c>
      <c r="C442" s="166">
        <v>642</v>
      </c>
      <c r="D442" s="166">
        <v>541</v>
      </c>
      <c r="E442" s="166" t="s">
        <v>1102</v>
      </c>
      <c r="F442" s="166">
        <v>751.44065116284287</v>
      </c>
    </row>
    <row r="443" spans="1:6">
      <c r="A443" s="403">
        <v>1340</v>
      </c>
      <c r="B443" s="403">
        <v>63</v>
      </c>
      <c r="C443" s="166">
        <v>642</v>
      </c>
      <c r="D443" s="166">
        <v>541</v>
      </c>
      <c r="E443" s="166" t="s">
        <v>1102</v>
      </c>
      <c r="F443" s="166">
        <v>751.44065116284287</v>
      </c>
    </row>
    <row r="444" spans="1:6">
      <c r="A444" s="403">
        <v>1341</v>
      </c>
      <c r="B444" s="403">
        <v>63</v>
      </c>
      <c r="C444" s="166">
        <v>642</v>
      </c>
      <c r="D444" s="166">
        <v>541</v>
      </c>
      <c r="E444" s="166" t="s">
        <v>1102</v>
      </c>
      <c r="F444" s="166">
        <v>751.44065116284287</v>
      </c>
    </row>
    <row r="445" spans="1:6">
      <c r="A445" s="403">
        <v>1342</v>
      </c>
      <c r="B445" s="403">
        <v>63</v>
      </c>
      <c r="C445" s="166">
        <v>642</v>
      </c>
      <c r="D445" s="166">
        <v>541</v>
      </c>
      <c r="E445" s="166" t="s">
        <v>1102</v>
      </c>
      <c r="F445" s="166">
        <v>751.44065116284287</v>
      </c>
    </row>
    <row r="446" spans="1:6">
      <c r="A446" s="403">
        <v>1343</v>
      </c>
      <c r="B446" s="403">
        <v>63</v>
      </c>
      <c r="C446" s="166">
        <v>642</v>
      </c>
      <c r="D446" s="166">
        <v>541</v>
      </c>
      <c r="E446" s="166" t="s">
        <v>1102</v>
      </c>
      <c r="F446" s="166">
        <v>751.44065116284287</v>
      </c>
    </row>
    <row r="447" spans="1:6">
      <c r="A447" s="403">
        <v>1344</v>
      </c>
      <c r="B447" s="403">
        <v>63</v>
      </c>
      <c r="C447" s="166">
        <v>642</v>
      </c>
      <c r="D447" s="166">
        <v>541</v>
      </c>
      <c r="E447" s="166" t="s">
        <v>1102</v>
      </c>
      <c r="F447" s="166">
        <v>751.44065116284287</v>
      </c>
    </row>
    <row r="448" spans="1:6">
      <c r="A448" s="403">
        <v>1345</v>
      </c>
      <c r="B448" s="403">
        <v>63</v>
      </c>
      <c r="C448" s="166">
        <v>642</v>
      </c>
      <c r="D448" s="166">
        <v>541</v>
      </c>
      <c r="E448" s="166" t="s">
        <v>1102</v>
      </c>
      <c r="F448" s="166">
        <v>751.44065116284287</v>
      </c>
    </row>
    <row r="449" spans="1:6">
      <c r="A449" s="403">
        <v>1346</v>
      </c>
      <c r="B449" s="403">
        <v>63</v>
      </c>
      <c r="C449" s="166">
        <v>642</v>
      </c>
      <c r="D449" s="166">
        <v>541</v>
      </c>
      <c r="E449" s="166" t="s">
        <v>1102</v>
      </c>
      <c r="F449" s="166">
        <v>751.44065116284287</v>
      </c>
    </row>
    <row r="450" spans="1:6">
      <c r="A450" s="403">
        <v>1347</v>
      </c>
      <c r="B450" s="403">
        <v>63</v>
      </c>
      <c r="C450" s="166">
        <v>642</v>
      </c>
      <c r="D450" s="166">
        <v>541</v>
      </c>
      <c r="E450" s="166" t="s">
        <v>1102</v>
      </c>
      <c r="F450" s="166">
        <v>751.44065116284287</v>
      </c>
    </row>
    <row r="451" spans="1:6">
      <c r="A451" s="403">
        <v>1348</v>
      </c>
      <c r="B451" s="403">
        <v>63</v>
      </c>
      <c r="C451" s="166">
        <v>642</v>
      </c>
      <c r="D451" s="166">
        <v>541</v>
      </c>
      <c r="E451" s="166" t="s">
        <v>1102</v>
      </c>
      <c r="F451" s="166">
        <v>751.44065116284287</v>
      </c>
    </row>
    <row r="452" spans="1:6">
      <c r="A452" s="403">
        <v>1349</v>
      </c>
      <c r="B452" s="403">
        <v>63</v>
      </c>
      <c r="C452" s="166">
        <v>642</v>
      </c>
      <c r="D452" s="166">
        <v>541</v>
      </c>
      <c r="E452" s="166" t="s">
        <v>1102</v>
      </c>
      <c r="F452" s="166">
        <v>751.44065116284287</v>
      </c>
    </row>
    <row r="453" spans="1:6">
      <c r="A453" s="403">
        <v>1350</v>
      </c>
      <c r="B453" s="403">
        <v>63</v>
      </c>
      <c r="C453" s="166">
        <v>642</v>
      </c>
      <c r="D453" s="166">
        <v>541</v>
      </c>
      <c r="E453" s="166" t="s">
        <v>1102</v>
      </c>
      <c r="F453" s="166">
        <v>751.44065116284287</v>
      </c>
    </row>
    <row r="454" spans="1:6">
      <c r="A454" s="403">
        <v>1355</v>
      </c>
      <c r="B454" s="403">
        <v>63</v>
      </c>
      <c r="C454" s="166">
        <v>642</v>
      </c>
      <c r="D454" s="166">
        <v>541</v>
      </c>
      <c r="E454" s="166" t="s">
        <v>1102</v>
      </c>
      <c r="F454" s="166">
        <v>751.44065116284287</v>
      </c>
    </row>
    <row r="455" spans="1:6">
      <c r="A455" s="403">
        <v>1356</v>
      </c>
      <c r="B455" s="403">
        <v>63</v>
      </c>
      <c r="C455" s="166">
        <v>642</v>
      </c>
      <c r="D455" s="166">
        <v>541</v>
      </c>
      <c r="E455" s="166" t="s">
        <v>1102</v>
      </c>
      <c r="F455" s="166">
        <v>751.44065116284287</v>
      </c>
    </row>
    <row r="456" spans="1:6">
      <c r="A456" s="403">
        <v>1357</v>
      </c>
      <c r="B456" s="403">
        <v>63</v>
      </c>
      <c r="C456" s="166">
        <v>642</v>
      </c>
      <c r="D456" s="166">
        <v>541</v>
      </c>
      <c r="E456" s="166" t="s">
        <v>1102</v>
      </c>
      <c r="F456" s="166">
        <v>751.44065116284287</v>
      </c>
    </row>
    <row r="457" spans="1:6">
      <c r="A457" s="403">
        <v>1358</v>
      </c>
      <c r="B457" s="403">
        <v>63</v>
      </c>
      <c r="C457" s="166">
        <v>642</v>
      </c>
      <c r="D457" s="166">
        <v>541</v>
      </c>
      <c r="E457" s="166" t="s">
        <v>1102</v>
      </c>
      <c r="F457" s="166">
        <v>751.44065116284287</v>
      </c>
    </row>
    <row r="458" spans="1:6">
      <c r="A458" s="403">
        <v>1359</v>
      </c>
      <c r="B458" s="403">
        <v>63</v>
      </c>
      <c r="C458" s="166">
        <v>642</v>
      </c>
      <c r="D458" s="166">
        <v>541</v>
      </c>
      <c r="E458" s="166" t="s">
        <v>1102</v>
      </c>
      <c r="F458" s="166">
        <v>751.44065116284287</v>
      </c>
    </row>
    <row r="459" spans="1:6">
      <c r="A459" s="403">
        <v>1360</v>
      </c>
      <c r="B459" s="403">
        <v>63</v>
      </c>
      <c r="C459" s="166">
        <v>642</v>
      </c>
      <c r="D459" s="166">
        <v>541</v>
      </c>
      <c r="E459" s="166" t="s">
        <v>1102</v>
      </c>
      <c r="F459" s="166">
        <v>751.44065116284287</v>
      </c>
    </row>
    <row r="460" spans="1:6">
      <c r="A460" s="403">
        <v>1362</v>
      </c>
      <c r="B460" s="403">
        <v>63</v>
      </c>
      <c r="C460" s="166">
        <v>642</v>
      </c>
      <c r="D460" s="166">
        <v>541</v>
      </c>
      <c r="E460" s="166" t="s">
        <v>1102</v>
      </c>
      <c r="F460" s="166">
        <v>751.44065116284287</v>
      </c>
    </row>
    <row r="461" spans="1:6">
      <c r="A461" s="403">
        <v>1363</v>
      </c>
      <c r="B461" s="403">
        <v>63</v>
      </c>
      <c r="C461" s="166">
        <v>642</v>
      </c>
      <c r="D461" s="166">
        <v>541</v>
      </c>
      <c r="E461" s="166" t="s">
        <v>1102</v>
      </c>
      <c r="F461" s="166">
        <v>751.44065116284287</v>
      </c>
    </row>
    <row r="462" spans="1:6">
      <c r="A462" s="403">
        <v>1400</v>
      </c>
      <c r="B462" s="403">
        <v>63</v>
      </c>
      <c r="C462" s="166">
        <v>642</v>
      </c>
      <c r="D462" s="166">
        <v>541</v>
      </c>
      <c r="E462" s="166" t="s">
        <v>1102</v>
      </c>
      <c r="F462" s="166">
        <v>751.44065116284287</v>
      </c>
    </row>
    <row r="463" spans="1:6">
      <c r="A463" s="403">
        <v>1401</v>
      </c>
      <c r="B463" s="403">
        <v>63</v>
      </c>
      <c r="C463" s="166">
        <v>642</v>
      </c>
      <c r="D463" s="166">
        <v>541</v>
      </c>
      <c r="E463" s="166" t="s">
        <v>1102</v>
      </c>
      <c r="F463" s="166">
        <v>751.44065116284287</v>
      </c>
    </row>
    <row r="464" spans="1:6">
      <c r="A464" s="403">
        <v>1402</v>
      </c>
      <c r="B464" s="403">
        <v>63</v>
      </c>
      <c r="C464" s="166">
        <v>642</v>
      </c>
      <c r="D464" s="166">
        <v>541</v>
      </c>
      <c r="E464" s="166" t="s">
        <v>1102</v>
      </c>
      <c r="F464" s="166">
        <v>751.44065116284287</v>
      </c>
    </row>
    <row r="465" spans="1:6">
      <c r="A465" s="403">
        <v>1403</v>
      </c>
      <c r="B465" s="403">
        <v>63</v>
      </c>
      <c r="C465" s="166">
        <v>642</v>
      </c>
      <c r="D465" s="166">
        <v>541</v>
      </c>
      <c r="E465" s="166" t="s">
        <v>1102</v>
      </c>
      <c r="F465" s="166">
        <v>751.44065116284287</v>
      </c>
    </row>
    <row r="466" spans="1:6">
      <c r="A466" s="403">
        <v>1404</v>
      </c>
      <c r="B466" s="403">
        <v>63</v>
      </c>
      <c r="C466" s="166">
        <v>642</v>
      </c>
      <c r="D466" s="166">
        <v>541</v>
      </c>
      <c r="E466" s="166" t="s">
        <v>1102</v>
      </c>
      <c r="F466" s="166">
        <v>751.44065116284287</v>
      </c>
    </row>
    <row r="467" spans="1:6">
      <c r="A467" s="403">
        <v>1405</v>
      </c>
      <c r="B467" s="403">
        <v>63</v>
      </c>
      <c r="C467" s="166">
        <v>642</v>
      </c>
      <c r="D467" s="166">
        <v>541</v>
      </c>
      <c r="E467" s="166" t="s">
        <v>1102</v>
      </c>
      <c r="F467" s="166">
        <v>751.44065116284287</v>
      </c>
    </row>
    <row r="468" spans="1:6">
      <c r="A468" s="403">
        <v>1406</v>
      </c>
      <c r="B468" s="403">
        <v>63</v>
      </c>
      <c r="C468" s="166">
        <v>642</v>
      </c>
      <c r="D468" s="166">
        <v>541</v>
      </c>
      <c r="E468" s="166" t="s">
        <v>1102</v>
      </c>
      <c r="F468" s="166">
        <v>751.44065116284287</v>
      </c>
    </row>
    <row r="469" spans="1:6">
      <c r="A469" s="403">
        <v>1407</v>
      </c>
      <c r="B469" s="403">
        <v>63</v>
      </c>
      <c r="C469" s="166">
        <v>642</v>
      </c>
      <c r="D469" s="166">
        <v>541</v>
      </c>
      <c r="E469" s="166" t="s">
        <v>1102</v>
      </c>
      <c r="F469" s="166">
        <v>751.44065116284287</v>
      </c>
    </row>
    <row r="470" spans="1:6">
      <c r="A470" s="403">
        <v>1408</v>
      </c>
      <c r="B470" s="403">
        <v>63</v>
      </c>
      <c r="C470" s="166">
        <v>642</v>
      </c>
      <c r="D470" s="166">
        <v>541</v>
      </c>
      <c r="E470" s="166" t="s">
        <v>1102</v>
      </c>
      <c r="F470" s="166">
        <v>751.44065116284287</v>
      </c>
    </row>
    <row r="471" spans="1:6">
      <c r="A471" s="403">
        <v>1409</v>
      </c>
      <c r="B471" s="403">
        <v>63</v>
      </c>
      <c r="C471" s="166">
        <v>642</v>
      </c>
      <c r="D471" s="166">
        <v>541</v>
      </c>
      <c r="E471" s="166" t="s">
        <v>1102</v>
      </c>
      <c r="F471" s="166">
        <v>751.44065116284287</v>
      </c>
    </row>
    <row r="472" spans="1:6">
      <c r="A472" s="403">
        <v>1410</v>
      </c>
      <c r="B472" s="403">
        <v>63</v>
      </c>
      <c r="C472" s="166">
        <v>642</v>
      </c>
      <c r="D472" s="166">
        <v>541</v>
      </c>
      <c r="E472" s="166" t="s">
        <v>1102</v>
      </c>
      <c r="F472" s="166">
        <v>751.44065116284287</v>
      </c>
    </row>
    <row r="473" spans="1:6">
      <c r="A473" s="403">
        <v>1411</v>
      </c>
      <c r="B473" s="403">
        <v>63</v>
      </c>
      <c r="C473" s="166">
        <v>642</v>
      </c>
      <c r="D473" s="166">
        <v>541</v>
      </c>
      <c r="E473" s="166" t="s">
        <v>1102</v>
      </c>
      <c r="F473" s="166">
        <v>751.44065116284287</v>
      </c>
    </row>
    <row r="474" spans="1:6">
      <c r="A474" s="403">
        <v>1412</v>
      </c>
      <c r="B474" s="403">
        <v>63</v>
      </c>
      <c r="C474" s="166">
        <v>642</v>
      </c>
      <c r="D474" s="166">
        <v>541</v>
      </c>
      <c r="E474" s="166" t="s">
        <v>1102</v>
      </c>
      <c r="F474" s="166">
        <v>751.44065116284287</v>
      </c>
    </row>
    <row r="475" spans="1:6">
      <c r="A475" s="403">
        <v>1413</v>
      </c>
      <c r="B475" s="403">
        <v>63</v>
      </c>
      <c r="C475" s="166">
        <v>642</v>
      </c>
      <c r="D475" s="166">
        <v>541</v>
      </c>
      <c r="E475" s="166" t="s">
        <v>1102</v>
      </c>
      <c r="F475" s="166">
        <v>751.44065116284287</v>
      </c>
    </row>
    <row r="476" spans="1:6">
      <c r="A476" s="403">
        <v>1414</v>
      </c>
      <c r="B476" s="403">
        <v>63</v>
      </c>
      <c r="C476" s="166">
        <v>642</v>
      </c>
      <c r="D476" s="166">
        <v>541</v>
      </c>
      <c r="E476" s="166" t="s">
        <v>1102</v>
      </c>
      <c r="F476" s="166">
        <v>751.44065116284287</v>
      </c>
    </row>
    <row r="477" spans="1:6">
      <c r="A477" s="403">
        <v>1415</v>
      </c>
      <c r="B477" s="403">
        <v>63</v>
      </c>
      <c r="C477" s="166">
        <v>642</v>
      </c>
      <c r="D477" s="166">
        <v>541</v>
      </c>
      <c r="E477" s="166" t="s">
        <v>1102</v>
      </c>
      <c r="F477" s="166">
        <v>751.44065116284287</v>
      </c>
    </row>
    <row r="478" spans="1:6">
      <c r="A478" s="403">
        <v>1416</v>
      </c>
      <c r="B478" s="403">
        <v>63</v>
      </c>
      <c r="C478" s="166">
        <v>642</v>
      </c>
      <c r="D478" s="166">
        <v>541</v>
      </c>
      <c r="E478" s="166" t="s">
        <v>1102</v>
      </c>
      <c r="F478" s="166">
        <v>751.44065116284287</v>
      </c>
    </row>
    <row r="479" spans="1:6">
      <c r="A479" s="403">
        <v>1417</v>
      </c>
      <c r="B479" s="403">
        <v>63</v>
      </c>
      <c r="C479" s="166">
        <v>642</v>
      </c>
      <c r="D479" s="166">
        <v>541</v>
      </c>
      <c r="E479" s="166" t="s">
        <v>1102</v>
      </c>
      <c r="F479" s="166">
        <v>751.44065116284287</v>
      </c>
    </row>
    <row r="480" spans="1:6">
      <c r="A480" s="403">
        <v>1418</v>
      </c>
      <c r="B480" s="403">
        <v>63</v>
      </c>
      <c r="C480" s="166">
        <v>642</v>
      </c>
      <c r="D480" s="166">
        <v>541</v>
      </c>
      <c r="E480" s="166" t="s">
        <v>1102</v>
      </c>
      <c r="F480" s="166">
        <v>751.44065116284287</v>
      </c>
    </row>
    <row r="481" spans="1:6">
      <c r="A481" s="403">
        <v>1419</v>
      </c>
      <c r="B481" s="403">
        <v>63</v>
      </c>
      <c r="C481" s="166">
        <v>642</v>
      </c>
      <c r="D481" s="166">
        <v>541</v>
      </c>
      <c r="E481" s="166" t="s">
        <v>1102</v>
      </c>
      <c r="F481" s="166">
        <v>751.44065116284287</v>
      </c>
    </row>
    <row r="482" spans="1:6">
      <c r="A482" s="403">
        <v>1420</v>
      </c>
      <c r="B482" s="403">
        <v>63</v>
      </c>
      <c r="C482" s="166">
        <v>642</v>
      </c>
      <c r="D482" s="166">
        <v>541</v>
      </c>
      <c r="E482" s="166" t="s">
        <v>1102</v>
      </c>
      <c r="F482" s="166">
        <v>751.44065116284287</v>
      </c>
    </row>
    <row r="483" spans="1:6">
      <c r="A483" s="403">
        <v>1421</v>
      </c>
      <c r="B483" s="403">
        <v>63</v>
      </c>
      <c r="C483" s="166">
        <v>642</v>
      </c>
      <c r="D483" s="166">
        <v>541</v>
      </c>
      <c r="E483" s="166" t="s">
        <v>1102</v>
      </c>
      <c r="F483" s="166">
        <v>751.44065116284287</v>
      </c>
    </row>
    <row r="484" spans="1:6">
      <c r="A484" s="403">
        <v>1422</v>
      </c>
      <c r="B484" s="403">
        <v>63</v>
      </c>
      <c r="C484" s="166">
        <v>642</v>
      </c>
      <c r="D484" s="166">
        <v>541</v>
      </c>
      <c r="E484" s="166" t="s">
        <v>1102</v>
      </c>
      <c r="F484" s="166">
        <v>751.44065116284287</v>
      </c>
    </row>
    <row r="485" spans="1:6">
      <c r="A485" s="403">
        <v>1423</v>
      </c>
      <c r="B485" s="403">
        <v>63</v>
      </c>
      <c r="C485" s="166">
        <v>642</v>
      </c>
      <c r="D485" s="166">
        <v>541</v>
      </c>
      <c r="E485" s="166" t="s">
        <v>1102</v>
      </c>
      <c r="F485" s="166">
        <v>751.44065116284287</v>
      </c>
    </row>
    <row r="486" spans="1:6">
      <c r="A486" s="403">
        <v>1424</v>
      </c>
      <c r="B486" s="403">
        <v>63</v>
      </c>
      <c r="C486" s="166">
        <v>642</v>
      </c>
      <c r="D486" s="166">
        <v>541</v>
      </c>
      <c r="E486" s="166" t="s">
        <v>1102</v>
      </c>
      <c r="F486" s="166">
        <v>751.44065116284287</v>
      </c>
    </row>
    <row r="487" spans="1:6">
      <c r="A487" s="403">
        <v>1425</v>
      </c>
      <c r="B487" s="403">
        <v>63</v>
      </c>
      <c r="C487" s="166">
        <v>642</v>
      </c>
      <c r="D487" s="166">
        <v>541</v>
      </c>
      <c r="E487" s="166" t="s">
        <v>1102</v>
      </c>
      <c r="F487" s="166">
        <v>751.44065116284287</v>
      </c>
    </row>
    <row r="488" spans="1:6">
      <c r="A488" s="403">
        <v>1426</v>
      </c>
      <c r="B488" s="403">
        <v>63</v>
      </c>
      <c r="C488" s="166">
        <v>642</v>
      </c>
      <c r="D488" s="166">
        <v>541</v>
      </c>
      <c r="E488" s="166" t="s">
        <v>1102</v>
      </c>
      <c r="F488" s="166">
        <v>751.44065116284287</v>
      </c>
    </row>
    <row r="489" spans="1:6">
      <c r="A489" s="403">
        <v>1427</v>
      </c>
      <c r="B489" s="403">
        <v>63</v>
      </c>
      <c r="C489" s="166">
        <v>642</v>
      </c>
      <c r="D489" s="166">
        <v>541</v>
      </c>
      <c r="E489" s="166" t="s">
        <v>1102</v>
      </c>
      <c r="F489" s="166">
        <v>751.44065116284287</v>
      </c>
    </row>
    <row r="490" spans="1:6">
      <c r="A490" s="403">
        <v>1428</v>
      </c>
      <c r="B490" s="403">
        <v>63</v>
      </c>
      <c r="C490" s="166">
        <v>642</v>
      </c>
      <c r="D490" s="166">
        <v>541</v>
      </c>
      <c r="E490" s="166" t="s">
        <v>1102</v>
      </c>
      <c r="F490" s="166">
        <v>751.44065116284287</v>
      </c>
    </row>
    <row r="491" spans="1:6">
      <c r="A491" s="403">
        <v>1429</v>
      </c>
      <c r="B491" s="403">
        <v>63</v>
      </c>
      <c r="C491" s="166">
        <v>642</v>
      </c>
      <c r="D491" s="166">
        <v>541</v>
      </c>
      <c r="E491" s="166" t="s">
        <v>1102</v>
      </c>
      <c r="F491" s="166">
        <v>751.44065116284287</v>
      </c>
    </row>
    <row r="492" spans="1:6">
      <c r="A492" s="403">
        <v>1430</v>
      </c>
      <c r="B492" s="403">
        <v>63</v>
      </c>
      <c r="C492" s="166">
        <v>642</v>
      </c>
      <c r="D492" s="166">
        <v>541</v>
      </c>
      <c r="E492" s="166" t="s">
        <v>1102</v>
      </c>
      <c r="F492" s="166">
        <v>751.44065116284287</v>
      </c>
    </row>
    <row r="493" spans="1:6">
      <c r="A493" s="403">
        <v>1431</v>
      </c>
      <c r="B493" s="403">
        <v>63</v>
      </c>
      <c r="C493" s="166">
        <v>642</v>
      </c>
      <c r="D493" s="166">
        <v>541</v>
      </c>
      <c r="E493" s="166" t="s">
        <v>1102</v>
      </c>
      <c r="F493" s="166">
        <v>751.44065116284287</v>
      </c>
    </row>
    <row r="494" spans="1:6">
      <c r="A494" s="403">
        <v>1432</v>
      </c>
      <c r="B494" s="403">
        <v>63</v>
      </c>
      <c r="C494" s="166">
        <v>642</v>
      </c>
      <c r="D494" s="166">
        <v>541</v>
      </c>
      <c r="E494" s="166" t="s">
        <v>1102</v>
      </c>
      <c r="F494" s="166">
        <v>751.44065116284287</v>
      </c>
    </row>
    <row r="495" spans="1:6">
      <c r="A495" s="403">
        <v>1433</v>
      </c>
      <c r="B495" s="403">
        <v>63</v>
      </c>
      <c r="C495" s="166">
        <v>642</v>
      </c>
      <c r="D495" s="166">
        <v>541</v>
      </c>
      <c r="E495" s="166" t="s">
        <v>1102</v>
      </c>
      <c r="F495" s="166">
        <v>751.44065116284287</v>
      </c>
    </row>
    <row r="496" spans="1:6">
      <c r="A496" s="403">
        <v>1434</v>
      </c>
      <c r="B496" s="403">
        <v>63</v>
      </c>
      <c r="C496" s="166">
        <v>642</v>
      </c>
      <c r="D496" s="166">
        <v>541</v>
      </c>
      <c r="E496" s="166" t="s">
        <v>1102</v>
      </c>
      <c r="F496" s="166">
        <v>751.44065116284287</v>
      </c>
    </row>
    <row r="497" spans="1:6">
      <c r="A497" s="403">
        <v>1435</v>
      </c>
      <c r="B497" s="403">
        <v>63</v>
      </c>
      <c r="C497" s="166">
        <v>642</v>
      </c>
      <c r="D497" s="166">
        <v>541</v>
      </c>
      <c r="E497" s="166" t="s">
        <v>1102</v>
      </c>
      <c r="F497" s="166">
        <v>751.44065116284287</v>
      </c>
    </row>
    <row r="498" spans="1:6">
      <c r="A498" s="403">
        <v>1436</v>
      </c>
      <c r="B498" s="403">
        <v>63</v>
      </c>
      <c r="C498" s="166">
        <v>642</v>
      </c>
      <c r="D498" s="166">
        <v>541</v>
      </c>
      <c r="E498" s="166" t="s">
        <v>1102</v>
      </c>
      <c r="F498" s="166">
        <v>751.44065116284287</v>
      </c>
    </row>
    <row r="499" spans="1:6">
      <c r="A499" s="403">
        <v>1437</v>
      </c>
      <c r="B499" s="403">
        <v>63</v>
      </c>
      <c r="C499" s="166">
        <v>642</v>
      </c>
      <c r="D499" s="166">
        <v>541</v>
      </c>
      <c r="E499" s="166" t="s">
        <v>1102</v>
      </c>
      <c r="F499" s="166">
        <v>751.44065116284287</v>
      </c>
    </row>
    <row r="500" spans="1:6">
      <c r="A500" s="403">
        <v>1438</v>
      </c>
      <c r="B500" s="403">
        <v>63</v>
      </c>
      <c r="C500" s="166">
        <v>642</v>
      </c>
      <c r="D500" s="166">
        <v>541</v>
      </c>
      <c r="E500" s="166" t="s">
        <v>1102</v>
      </c>
      <c r="F500" s="166">
        <v>751.44065116284287</v>
      </c>
    </row>
    <row r="501" spans="1:6">
      <c r="A501" s="403">
        <v>1439</v>
      </c>
      <c r="B501" s="403">
        <v>63</v>
      </c>
      <c r="C501" s="166">
        <v>642</v>
      </c>
      <c r="D501" s="166">
        <v>541</v>
      </c>
      <c r="E501" s="166" t="s">
        <v>1102</v>
      </c>
      <c r="F501" s="166">
        <v>751.44065116284287</v>
      </c>
    </row>
    <row r="502" spans="1:6">
      <c r="A502" s="403">
        <v>1440</v>
      </c>
      <c r="B502" s="403">
        <v>63</v>
      </c>
      <c r="C502" s="166">
        <v>642</v>
      </c>
      <c r="D502" s="166">
        <v>541</v>
      </c>
      <c r="E502" s="166" t="s">
        <v>1102</v>
      </c>
      <c r="F502" s="166">
        <v>751.44065116284287</v>
      </c>
    </row>
    <row r="503" spans="1:6">
      <c r="A503" s="403">
        <v>1441</v>
      </c>
      <c r="B503" s="403">
        <v>63</v>
      </c>
      <c r="C503" s="166">
        <v>642</v>
      </c>
      <c r="D503" s="166">
        <v>541</v>
      </c>
      <c r="E503" s="166" t="s">
        <v>1102</v>
      </c>
      <c r="F503" s="166">
        <v>751.44065116284287</v>
      </c>
    </row>
    <row r="504" spans="1:6">
      <c r="A504" s="403">
        <v>1442</v>
      </c>
      <c r="B504" s="403">
        <v>63</v>
      </c>
      <c r="C504" s="166">
        <v>642</v>
      </c>
      <c r="D504" s="166">
        <v>541</v>
      </c>
      <c r="E504" s="166" t="s">
        <v>1102</v>
      </c>
      <c r="F504" s="166">
        <v>751.44065116284287</v>
      </c>
    </row>
    <row r="505" spans="1:6">
      <c r="A505" s="403">
        <v>1443</v>
      </c>
      <c r="B505" s="403">
        <v>63</v>
      </c>
      <c r="C505" s="166">
        <v>642</v>
      </c>
      <c r="D505" s="166">
        <v>541</v>
      </c>
      <c r="E505" s="166" t="s">
        <v>1102</v>
      </c>
      <c r="F505" s="166">
        <v>751.44065116284287</v>
      </c>
    </row>
    <row r="506" spans="1:6">
      <c r="A506" s="403">
        <v>1444</v>
      </c>
      <c r="B506" s="403">
        <v>63</v>
      </c>
      <c r="C506" s="166">
        <v>642</v>
      </c>
      <c r="D506" s="166">
        <v>541</v>
      </c>
      <c r="E506" s="166" t="s">
        <v>1102</v>
      </c>
      <c r="F506" s="166">
        <v>751.44065116284287</v>
      </c>
    </row>
    <row r="507" spans="1:6">
      <c r="A507" s="403">
        <v>1445</v>
      </c>
      <c r="B507" s="403">
        <v>63</v>
      </c>
      <c r="C507" s="166">
        <v>642</v>
      </c>
      <c r="D507" s="166">
        <v>541</v>
      </c>
      <c r="E507" s="166" t="s">
        <v>1102</v>
      </c>
      <c r="F507" s="166">
        <v>751.44065116284287</v>
      </c>
    </row>
    <row r="508" spans="1:6">
      <c r="A508" s="403">
        <v>1450</v>
      </c>
      <c r="B508" s="403">
        <v>63</v>
      </c>
      <c r="C508" s="166">
        <v>642</v>
      </c>
      <c r="D508" s="166">
        <v>541</v>
      </c>
      <c r="E508" s="166" t="s">
        <v>1102</v>
      </c>
      <c r="F508" s="166">
        <v>751.44065116284287</v>
      </c>
    </row>
    <row r="509" spans="1:6">
      <c r="A509" s="403">
        <v>1452</v>
      </c>
      <c r="B509" s="403">
        <v>63</v>
      </c>
      <c r="C509" s="166">
        <v>642</v>
      </c>
      <c r="D509" s="166">
        <v>541</v>
      </c>
      <c r="E509" s="166" t="s">
        <v>1102</v>
      </c>
      <c r="F509" s="166">
        <v>751.44065116284287</v>
      </c>
    </row>
    <row r="510" spans="1:6">
      <c r="A510" s="403">
        <v>1453</v>
      </c>
      <c r="B510" s="403">
        <v>63</v>
      </c>
      <c r="C510" s="166">
        <v>642</v>
      </c>
      <c r="D510" s="166">
        <v>541</v>
      </c>
      <c r="E510" s="166" t="s">
        <v>1102</v>
      </c>
      <c r="F510" s="166">
        <v>751.44065116284287</v>
      </c>
    </row>
    <row r="511" spans="1:6">
      <c r="A511" s="403">
        <v>1454</v>
      </c>
      <c r="B511" s="403">
        <v>63</v>
      </c>
      <c r="C511" s="166">
        <v>642</v>
      </c>
      <c r="D511" s="166">
        <v>541</v>
      </c>
      <c r="E511" s="166" t="s">
        <v>1102</v>
      </c>
      <c r="F511" s="166">
        <v>751.44065116284287</v>
      </c>
    </row>
    <row r="512" spans="1:6">
      <c r="A512" s="403">
        <v>1455</v>
      </c>
      <c r="B512" s="403">
        <v>63</v>
      </c>
      <c r="C512" s="166">
        <v>642</v>
      </c>
      <c r="D512" s="166">
        <v>541</v>
      </c>
      <c r="E512" s="166" t="s">
        <v>1102</v>
      </c>
      <c r="F512" s="166">
        <v>751.44065116284287</v>
      </c>
    </row>
    <row r="513" spans="1:6">
      <c r="A513" s="403">
        <v>1456</v>
      </c>
      <c r="B513" s="403">
        <v>63</v>
      </c>
      <c r="C513" s="166">
        <v>642</v>
      </c>
      <c r="D513" s="166">
        <v>541</v>
      </c>
      <c r="E513" s="166" t="s">
        <v>1102</v>
      </c>
      <c r="F513" s="166">
        <v>751.44065116284287</v>
      </c>
    </row>
    <row r="514" spans="1:6">
      <c r="A514" s="403">
        <v>1457</v>
      </c>
      <c r="B514" s="403">
        <v>63</v>
      </c>
      <c r="C514" s="166">
        <v>642</v>
      </c>
      <c r="D514" s="166">
        <v>541</v>
      </c>
      <c r="E514" s="166" t="s">
        <v>1102</v>
      </c>
      <c r="F514" s="166">
        <v>751.44065116284287</v>
      </c>
    </row>
    <row r="515" spans="1:6">
      <c r="A515" s="403">
        <v>1458</v>
      </c>
      <c r="B515" s="403">
        <v>63</v>
      </c>
      <c r="C515" s="166">
        <v>642</v>
      </c>
      <c r="D515" s="166">
        <v>541</v>
      </c>
      <c r="E515" s="166" t="s">
        <v>1102</v>
      </c>
      <c r="F515" s="166">
        <v>751.44065116284287</v>
      </c>
    </row>
    <row r="516" spans="1:6">
      <c r="A516" s="403">
        <v>1459</v>
      </c>
      <c r="B516" s="403">
        <v>63</v>
      </c>
      <c r="C516" s="166">
        <v>642</v>
      </c>
      <c r="D516" s="166">
        <v>541</v>
      </c>
      <c r="E516" s="166" t="s">
        <v>1102</v>
      </c>
      <c r="F516" s="166">
        <v>751.44065116284287</v>
      </c>
    </row>
    <row r="517" spans="1:6">
      <c r="A517" s="403">
        <v>1460</v>
      </c>
      <c r="B517" s="403">
        <v>63</v>
      </c>
      <c r="C517" s="166">
        <v>642</v>
      </c>
      <c r="D517" s="166">
        <v>541</v>
      </c>
      <c r="E517" s="166" t="s">
        <v>1102</v>
      </c>
      <c r="F517" s="166">
        <v>751.44065116284287</v>
      </c>
    </row>
    <row r="518" spans="1:6">
      <c r="A518" s="403">
        <v>1461</v>
      </c>
      <c r="B518" s="403">
        <v>63</v>
      </c>
      <c r="C518" s="166">
        <v>642</v>
      </c>
      <c r="D518" s="166">
        <v>541</v>
      </c>
      <c r="E518" s="166" t="s">
        <v>1102</v>
      </c>
      <c r="F518" s="166">
        <v>751.44065116284287</v>
      </c>
    </row>
    <row r="519" spans="1:6">
      <c r="A519" s="403">
        <v>1462</v>
      </c>
      <c r="B519" s="403">
        <v>63</v>
      </c>
      <c r="C519" s="166">
        <v>642</v>
      </c>
      <c r="D519" s="166">
        <v>541</v>
      </c>
      <c r="E519" s="166" t="s">
        <v>1102</v>
      </c>
      <c r="F519" s="166">
        <v>751.44065116284287</v>
      </c>
    </row>
    <row r="520" spans="1:6">
      <c r="A520" s="403">
        <v>1463</v>
      </c>
      <c r="B520" s="403">
        <v>63</v>
      </c>
      <c r="C520" s="166">
        <v>642</v>
      </c>
      <c r="D520" s="166">
        <v>541</v>
      </c>
      <c r="E520" s="166" t="s">
        <v>1102</v>
      </c>
      <c r="F520" s="166">
        <v>751.44065116284287</v>
      </c>
    </row>
    <row r="521" spans="1:6">
      <c r="A521" s="403">
        <v>1465</v>
      </c>
      <c r="B521" s="403">
        <v>63</v>
      </c>
      <c r="C521" s="166">
        <v>642</v>
      </c>
      <c r="D521" s="166">
        <v>541</v>
      </c>
      <c r="E521" s="166" t="s">
        <v>1102</v>
      </c>
      <c r="F521" s="166">
        <v>751.44065116284287</v>
      </c>
    </row>
    <row r="522" spans="1:6">
      <c r="A522" s="403">
        <v>1467</v>
      </c>
      <c r="B522" s="403">
        <v>63</v>
      </c>
      <c r="C522" s="166">
        <v>642</v>
      </c>
      <c r="D522" s="166">
        <v>541</v>
      </c>
      <c r="E522" s="166" t="s">
        <v>1102</v>
      </c>
      <c r="F522" s="166">
        <v>751.44065116284287</v>
      </c>
    </row>
    <row r="523" spans="1:6">
      <c r="A523" s="403">
        <v>1468</v>
      </c>
      <c r="B523" s="403">
        <v>63</v>
      </c>
      <c r="C523" s="166">
        <v>642</v>
      </c>
      <c r="D523" s="166">
        <v>541</v>
      </c>
      <c r="E523" s="166" t="s">
        <v>1102</v>
      </c>
      <c r="F523" s="166">
        <v>751.44065116284287</v>
      </c>
    </row>
    <row r="524" spans="1:6">
      <c r="A524" s="403">
        <v>1470</v>
      </c>
      <c r="B524" s="403">
        <v>63</v>
      </c>
      <c r="C524" s="166">
        <v>642</v>
      </c>
      <c r="D524" s="166">
        <v>541</v>
      </c>
      <c r="E524" s="166" t="s">
        <v>1102</v>
      </c>
      <c r="F524" s="166">
        <v>751.44065116284287</v>
      </c>
    </row>
    <row r="525" spans="1:6">
      <c r="A525" s="403">
        <v>1472</v>
      </c>
      <c r="B525" s="403">
        <v>63</v>
      </c>
      <c r="C525" s="166">
        <v>642</v>
      </c>
      <c r="D525" s="166">
        <v>541</v>
      </c>
      <c r="E525" s="166" t="s">
        <v>1102</v>
      </c>
      <c r="F525" s="166">
        <v>751.44065116284287</v>
      </c>
    </row>
    <row r="526" spans="1:6">
      <c r="A526" s="403">
        <v>1474</v>
      </c>
      <c r="B526" s="403">
        <v>63</v>
      </c>
      <c r="C526" s="166">
        <v>642</v>
      </c>
      <c r="D526" s="166">
        <v>541</v>
      </c>
      <c r="E526" s="166" t="s">
        <v>1102</v>
      </c>
      <c r="F526" s="166">
        <v>751.44065116284287</v>
      </c>
    </row>
    <row r="527" spans="1:6">
      <c r="A527" s="403">
        <v>1475</v>
      </c>
      <c r="B527" s="403">
        <v>63</v>
      </c>
      <c r="C527" s="166">
        <v>642</v>
      </c>
      <c r="D527" s="166">
        <v>541</v>
      </c>
      <c r="E527" s="166" t="s">
        <v>1102</v>
      </c>
      <c r="F527" s="166">
        <v>751.44065116284287</v>
      </c>
    </row>
    <row r="528" spans="1:6">
      <c r="A528" s="403">
        <v>1476</v>
      </c>
      <c r="B528" s="403">
        <v>63</v>
      </c>
      <c r="C528" s="166">
        <v>642</v>
      </c>
      <c r="D528" s="166">
        <v>541</v>
      </c>
      <c r="E528" s="166" t="s">
        <v>1102</v>
      </c>
      <c r="F528" s="166">
        <v>751.44065116284287</v>
      </c>
    </row>
    <row r="529" spans="1:6">
      <c r="A529" s="403">
        <v>1477</v>
      </c>
      <c r="B529" s="403">
        <v>63</v>
      </c>
      <c r="C529" s="166">
        <v>642</v>
      </c>
      <c r="D529" s="166">
        <v>541</v>
      </c>
      <c r="E529" s="166" t="s">
        <v>1102</v>
      </c>
      <c r="F529" s="166">
        <v>751.44065116284287</v>
      </c>
    </row>
    <row r="530" spans="1:6">
      <c r="A530" s="403">
        <v>1478</v>
      </c>
      <c r="B530" s="403">
        <v>63</v>
      </c>
      <c r="C530" s="166">
        <v>642</v>
      </c>
      <c r="D530" s="166">
        <v>541</v>
      </c>
      <c r="E530" s="166" t="s">
        <v>1102</v>
      </c>
      <c r="F530" s="166">
        <v>751.44065116284287</v>
      </c>
    </row>
    <row r="531" spans="1:6">
      <c r="A531" s="403">
        <v>1479</v>
      </c>
      <c r="B531" s="403">
        <v>63</v>
      </c>
      <c r="C531" s="166">
        <v>642</v>
      </c>
      <c r="D531" s="166">
        <v>541</v>
      </c>
      <c r="E531" s="166" t="s">
        <v>1102</v>
      </c>
      <c r="F531" s="166">
        <v>751.44065116284287</v>
      </c>
    </row>
    <row r="532" spans="1:6">
      <c r="A532" s="403">
        <v>1480</v>
      </c>
      <c r="B532" s="403">
        <v>63</v>
      </c>
      <c r="C532" s="166">
        <v>642</v>
      </c>
      <c r="D532" s="166">
        <v>541</v>
      </c>
      <c r="E532" s="166" t="s">
        <v>1102</v>
      </c>
      <c r="F532" s="166">
        <v>751.44065116284287</v>
      </c>
    </row>
    <row r="533" spans="1:6">
      <c r="A533" s="403">
        <v>1481</v>
      </c>
      <c r="B533" s="403">
        <v>63</v>
      </c>
      <c r="C533" s="166">
        <v>642</v>
      </c>
      <c r="D533" s="166">
        <v>541</v>
      </c>
      <c r="E533" s="166" t="s">
        <v>1102</v>
      </c>
      <c r="F533" s="166">
        <v>751.44065116284287</v>
      </c>
    </row>
    <row r="534" spans="1:6">
      <c r="A534" s="403">
        <v>1482</v>
      </c>
      <c r="B534" s="403">
        <v>63</v>
      </c>
      <c r="C534" s="166">
        <v>642</v>
      </c>
      <c r="D534" s="166">
        <v>541</v>
      </c>
      <c r="E534" s="166" t="s">
        <v>1102</v>
      </c>
      <c r="F534" s="166">
        <v>751.44065116284287</v>
      </c>
    </row>
    <row r="535" spans="1:6">
      <c r="A535" s="403">
        <v>1484</v>
      </c>
      <c r="B535" s="403">
        <v>63</v>
      </c>
      <c r="C535" s="166">
        <v>642</v>
      </c>
      <c r="D535" s="166">
        <v>541</v>
      </c>
      <c r="E535" s="166" t="s">
        <v>1102</v>
      </c>
      <c r="F535" s="166">
        <v>751.44065116284287</v>
      </c>
    </row>
    <row r="536" spans="1:6">
      <c r="A536" s="403">
        <v>1485</v>
      </c>
      <c r="B536" s="403">
        <v>63</v>
      </c>
      <c r="C536" s="166">
        <v>642</v>
      </c>
      <c r="D536" s="166">
        <v>541</v>
      </c>
      <c r="E536" s="166" t="s">
        <v>1102</v>
      </c>
      <c r="F536" s="166">
        <v>751.44065116284287</v>
      </c>
    </row>
    <row r="537" spans="1:6">
      <c r="A537" s="403">
        <v>1487</v>
      </c>
      <c r="B537" s="403">
        <v>63</v>
      </c>
      <c r="C537" s="166">
        <v>642</v>
      </c>
      <c r="D537" s="166">
        <v>541</v>
      </c>
      <c r="E537" s="166" t="s">
        <v>1102</v>
      </c>
      <c r="F537" s="166">
        <v>751.44065116284287</v>
      </c>
    </row>
    <row r="538" spans="1:6">
      <c r="A538" s="403">
        <v>1490</v>
      </c>
      <c r="B538" s="403">
        <v>63</v>
      </c>
      <c r="C538" s="166">
        <v>642</v>
      </c>
      <c r="D538" s="166">
        <v>541</v>
      </c>
      <c r="E538" s="166" t="s">
        <v>1102</v>
      </c>
      <c r="F538" s="166">
        <v>751.44065116284287</v>
      </c>
    </row>
    <row r="539" spans="1:6">
      <c r="A539" s="403">
        <v>1493</v>
      </c>
      <c r="B539" s="403">
        <v>63</v>
      </c>
      <c r="C539" s="166">
        <v>642</v>
      </c>
      <c r="D539" s="166">
        <v>541</v>
      </c>
      <c r="E539" s="166" t="s">
        <v>1102</v>
      </c>
      <c r="F539" s="166">
        <v>751.44065116284287</v>
      </c>
    </row>
    <row r="540" spans="1:6">
      <c r="A540" s="403">
        <v>1495</v>
      </c>
      <c r="B540" s="403">
        <v>63</v>
      </c>
      <c r="C540" s="166">
        <v>642</v>
      </c>
      <c r="D540" s="166">
        <v>541</v>
      </c>
      <c r="E540" s="166" t="s">
        <v>1102</v>
      </c>
      <c r="F540" s="166">
        <v>751.44065116284287</v>
      </c>
    </row>
    <row r="541" spans="1:6">
      <c r="A541" s="403">
        <v>1499</v>
      </c>
      <c r="B541" s="403">
        <v>63</v>
      </c>
      <c r="C541" s="166">
        <v>642</v>
      </c>
      <c r="D541" s="166">
        <v>541</v>
      </c>
      <c r="E541" s="166" t="s">
        <v>1102</v>
      </c>
      <c r="F541" s="166">
        <v>751.44065116284287</v>
      </c>
    </row>
    <row r="542" spans="1:6">
      <c r="A542" s="403">
        <v>1502</v>
      </c>
      <c r="B542" s="403">
        <v>63</v>
      </c>
      <c r="C542" s="166">
        <v>642</v>
      </c>
      <c r="D542" s="166">
        <v>541</v>
      </c>
      <c r="E542" s="166" t="s">
        <v>1102</v>
      </c>
      <c r="F542" s="166">
        <v>751.44065116284287</v>
      </c>
    </row>
    <row r="543" spans="1:6">
      <c r="A543" s="403">
        <v>1503</v>
      </c>
      <c r="B543" s="403">
        <v>63</v>
      </c>
      <c r="C543" s="166">
        <v>642</v>
      </c>
      <c r="D543" s="166">
        <v>541</v>
      </c>
      <c r="E543" s="166" t="s">
        <v>1102</v>
      </c>
      <c r="F543" s="166">
        <v>751.44065116284287</v>
      </c>
    </row>
    <row r="544" spans="1:6">
      <c r="A544" s="403">
        <v>1504</v>
      </c>
      <c r="B544" s="403">
        <v>63</v>
      </c>
      <c r="C544" s="166">
        <v>642</v>
      </c>
      <c r="D544" s="166">
        <v>541</v>
      </c>
      <c r="E544" s="166" t="s">
        <v>1102</v>
      </c>
      <c r="F544" s="166">
        <v>751.44065116284287</v>
      </c>
    </row>
    <row r="545" spans="1:6">
      <c r="A545" s="403">
        <v>1505</v>
      </c>
      <c r="B545" s="403">
        <v>63</v>
      </c>
      <c r="C545" s="166">
        <v>642</v>
      </c>
      <c r="D545" s="166">
        <v>541</v>
      </c>
      <c r="E545" s="166" t="s">
        <v>1102</v>
      </c>
      <c r="F545" s="166">
        <v>751.44065116284287</v>
      </c>
    </row>
    <row r="546" spans="1:6">
      <c r="A546" s="403">
        <v>1506</v>
      </c>
      <c r="B546" s="403">
        <v>63</v>
      </c>
      <c r="C546" s="166">
        <v>642</v>
      </c>
      <c r="D546" s="166">
        <v>541</v>
      </c>
      <c r="E546" s="166" t="s">
        <v>1102</v>
      </c>
      <c r="F546" s="166">
        <v>751.44065116284287</v>
      </c>
    </row>
    <row r="547" spans="1:6">
      <c r="A547" s="403">
        <v>1507</v>
      </c>
      <c r="B547" s="403">
        <v>63</v>
      </c>
      <c r="C547" s="166">
        <v>642</v>
      </c>
      <c r="D547" s="166">
        <v>541</v>
      </c>
      <c r="E547" s="166" t="s">
        <v>1102</v>
      </c>
      <c r="F547" s="166">
        <v>751.44065116284287</v>
      </c>
    </row>
    <row r="548" spans="1:6">
      <c r="A548" s="403">
        <v>1508</v>
      </c>
      <c r="B548" s="403">
        <v>63</v>
      </c>
      <c r="C548" s="166">
        <v>642</v>
      </c>
      <c r="D548" s="166">
        <v>541</v>
      </c>
      <c r="E548" s="166" t="s">
        <v>1102</v>
      </c>
      <c r="F548" s="166">
        <v>751.44065116284287</v>
      </c>
    </row>
    <row r="549" spans="1:6">
      <c r="A549" s="403">
        <v>1509</v>
      </c>
      <c r="B549" s="403">
        <v>63</v>
      </c>
      <c r="C549" s="166">
        <v>642</v>
      </c>
      <c r="D549" s="166">
        <v>541</v>
      </c>
      <c r="E549" s="166" t="s">
        <v>1102</v>
      </c>
      <c r="F549" s="166">
        <v>751.44065116284287</v>
      </c>
    </row>
    <row r="550" spans="1:6">
      <c r="A550" s="403">
        <v>1510</v>
      </c>
      <c r="B550" s="403">
        <v>63</v>
      </c>
      <c r="C550" s="166">
        <v>642</v>
      </c>
      <c r="D550" s="166">
        <v>541</v>
      </c>
      <c r="E550" s="166" t="s">
        <v>1102</v>
      </c>
      <c r="F550" s="166">
        <v>751.44065116284287</v>
      </c>
    </row>
    <row r="551" spans="1:6">
      <c r="A551" s="403">
        <v>1511</v>
      </c>
      <c r="B551" s="403">
        <v>63</v>
      </c>
      <c r="C551" s="166">
        <v>642</v>
      </c>
      <c r="D551" s="166">
        <v>541</v>
      </c>
      <c r="E551" s="166" t="s">
        <v>1102</v>
      </c>
      <c r="F551" s="166">
        <v>751.44065116284287</v>
      </c>
    </row>
    <row r="552" spans="1:6">
      <c r="A552" s="403">
        <v>1515</v>
      </c>
      <c r="B552" s="403">
        <v>63</v>
      </c>
      <c r="C552" s="166">
        <v>642</v>
      </c>
      <c r="D552" s="166">
        <v>541</v>
      </c>
      <c r="E552" s="166" t="s">
        <v>1102</v>
      </c>
      <c r="F552" s="166">
        <v>751.44065116284287</v>
      </c>
    </row>
    <row r="553" spans="1:6">
      <c r="A553" s="403">
        <v>1516</v>
      </c>
      <c r="B553" s="403">
        <v>63</v>
      </c>
      <c r="C553" s="166">
        <v>642</v>
      </c>
      <c r="D553" s="166">
        <v>541</v>
      </c>
      <c r="E553" s="166" t="s">
        <v>1102</v>
      </c>
      <c r="F553" s="166">
        <v>751.44065116284287</v>
      </c>
    </row>
    <row r="554" spans="1:6">
      <c r="A554" s="403">
        <v>1517</v>
      </c>
      <c r="B554" s="403">
        <v>63</v>
      </c>
      <c r="C554" s="166">
        <v>642</v>
      </c>
      <c r="D554" s="166">
        <v>541</v>
      </c>
      <c r="E554" s="166" t="s">
        <v>1102</v>
      </c>
      <c r="F554" s="166">
        <v>751.44065116284287</v>
      </c>
    </row>
    <row r="555" spans="1:6">
      <c r="A555" s="403">
        <v>1544</v>
      </c>
      <c r="B555" s="403">
        <v>63</v>
      </c>
      <c r="C555" s="166">
        <v>642</v>
      </c>
      <c r="D555" s="166">
        <v>541</v>
      </c>
      <c r="E555" s="166" t="s">
        <v>1102</v>
      </c>
      <c r="F555" s="166">
        <v>751.44065116284287</v>
      </c>
    </row>
    <row r="556" spans="1:6">
      <c r="A556" s="403">
        <v>1545</v>
      </c>
      <c r="B556" s="403">
        <v>63</v>
      </c>
      <c r="C556" s="166">
        <v>642</v>
      </c>
      <c r="D556" s="166">
        <v>541</v>
      </c>
      <c r="E556" s="166" t="s">
        <v>1102</v>
      </c>
      <c r="F556" s="166">
        <v>751.44065116284287</v>
      </c>
    </row>
    <row r="557" spans="1:6">
      <c r="A557" s="403">
        <v>1546</v>
      </c>
      <c r="B557" s="403">
        <v>63</v>
      </c>
      <c r="C557" s="166">
        <v>642</v>
      </c>
      <c r="D557" s="166">
        <v>541</v>
      </c>
      <c r="E557" s="166" t="s">
        <v>1102</v>
      </c>
      <c r="F557" s="166">
        <v>751.44065116284287</v>
      </c>
    </row>
    <row r="558" spans="1:6">
      <c r="A558" s="403">
        <v>1547</v>
      </c>
      <c r="B558" s="403">
        <v>63</v>
      </c>
      <c r="C558" s="166">
        <v>642</v>
      </c>
      <c r="D558" s="166">
        <v>541</v>
      </c>
      <c r="E558" s="166" t="s">
        <v>1102</v>
      </c>
      <c r="F558" s="166">
        <v>751.44065116284287</v>
      </c>
    </row>
    <row r="559" spans="1:6">
      <c r="A559" s="403">
        <v>1549</v>
      </c>
      <c r="B559" s="403">
        <v>63</v>
      </c>
      <c r="C559" s="166">
        <v>642</v>
      </c>
      <c r="D559" s="166">
        <v>541</v>
      </c>
      <c r="E559" s="166" t="s">
        <v>1102</v>
      </c>
      <c r="F559" s="166">
        <v>751.44065116284287</v>
      </c>
    </row>
    <row r="560" spans="1:6">
      <c r="A560" s="403">
        <v>1550</v>
      </c>
      <c r="B560" s="403">
        <v>63</v>
      </c>
      <c r="C560" s="166">
        <v>642</v>
      </c>
      <c r="D560" s="166">
        <v>541</v>
      </c>
      <c r="E560" s="166" t="s">
        <v>1102</v>
      </c>
      <c r="F560" s="166">
        <v>751.44065116284287</v>
      </c>
    </row>
    <row r="561" spans="1:6">
      <c r="A561" s="403">
        <v>1551</v>
      </c>
      <c r="B561" s="403">
        <v>63</v>
      </c>
      <c r="C561" s="166">
        <v>642</v>
      </c>
      <c r="D561" s="166">
        <v>541</v>
      </c>
      <c r="E561" s="166" t="s">
        <v>1102</v>
      </c>
      <c r="F561" s="166">
        <v>751.44065116284287</v>
      </c>
    </row>
    <row r="562" spans="1:6">
      <c r="A562" s="403">
        <v>1552</v>
      </c>
      <c r="B562" s="403">
        <v>63</v>
      </c>
      <c r="C562" s="166">
        <v>642</v>
      </c>
      <c r="D562" s="166">
        <v>541</v>
      </c>
      <c r="E562" s="166" t="s">
        <v>1102</v>
      </c>
      <c r="F562" s="166">
        <v>751.44065116284287</v>
      </c>
    </row>
    <row r="563" spans="1:6">
      <c r="A563" s="403">
        <v>1553</v>
      </c>
      <c r="B563" s="403">
        <v>63</v>
      </c>
      <c r="C563" s="166">
        <v>642</v>
      </c>
      <c r="D563" s="166">
        <v>541</v>
      </c>
      <c r="E563" s="166" t="s">
        <v>1102</v>
      </c>
      <c r="F563" s="166">
        <v>751.44065116284287</v>
      </c>
    </row>
    <row r="564" spans="1:6">
      <c r="A564" s="403">
        <v>1554</v>
      </c>
      <c r="B564" s="403">
        <v>63</v>
      </c>
      <c r="C564" s="166">
        <v>642</v>
      </c>
      <c r="D564" s="166">
        <v>541</v>
      </c>
      <c r="E564" s="166" t="s">
        <v>1102</v>
      </c>
      <c r="F564" s="166">
        <v>751.44065116284287</v>
      </c>
    </row>
    <row r="565" spans="1:6">
      <c r="A565" s="403">
        <v>1555</v>
      </c>
      <c r="B565" s="403">
        <v>63</v>
      </c>
      <c r="C565" s="166">
        <v>642</v>
      </c>
      <c r="D565" s="166">
        <v>541</v>
      </c>
      <c r="E565" s="166" t="s">
        <v>1102</v>
      </c>
      <c r="F565" s="166">
        <v>751.44065116284287</v>
      </c>
    </row>
    <row r="566" spans="1:6">
      <c r="A566" s="403">
        <v>1556</v>
      </c>
      <c r="B566" s="403">
        <v>63</v>
      </c>
      <c r="C566" s="166">
        <v>642</v>
      </c>
      <c r="D566" s="166">
        <v>541</v>
      </c>
      <c r="E566" s="166" t="s">
        <v>1102</v>
      </c>
      <c r="F566" s="166">
        <v>751.44065116284287</v>
      </c>
    </row>
    <row r="567" spans="1:6">
      <c r="A567" s="403">
        <v>1557</v>
      </c>
      <c r="B567" s="403">
        <v>63</v>
      </c>
      <c r="C567" s="166">
        <v>642</v>
      </c>
      <c r="D567" s="166">
        <v>541</v>
      </c>
      <c r="E567" s="166" t="s">
        <v>1102</v>
      </c>
      <c r="F567" s="166">
        <v>751.44065116284287</v>
      </c>
    </row>
    <row r="568" spans="1:6">
      <c r="A568" s="403">
        <v>1558</v>
      </c>
      <c r="B568" s="403">
        <v>63</v>
      </c>
      <c r="C568" s="166">
        <v>642</v>
      </c>
      <c r="D568" s="166">
        <v>541</v>
      </c>
      <c r="E568" s="166" t="s">
        <v>1102</v>
      </c>
      <c r="F568" s="166">
        <v>751.44065116284287</v>
      </c>
    </row>
    <row r="569" spans="1:6">
      <c r="A569" s="403">
        <v>1559</v>
      </c>
      <c r="B569" s="403">
        <v>63</v>
      </c>
      <c r="C569" s="166">
        <v>642</v>
      </c>
      <c r="D569" s="166">
        <v>541</v>
      </c>
      <c r="E569" s="166" t="s">
        <v>1102</v>
      </c>
      <c r="F569" s="166">
        <v>751.44065116284287</v>
      </c>
    </row>
    <row r="570" spans="1:6">
      <c r="A570" s="403">
        <v>1560</v>
      </c>
      <c r="B570" s="403">
        <v>63</v>
      </c>
      <c r="C570" s="166">
        <v>642</v>
      </c>
      <c r="D570" s="166">
        <v>541</v>
      </c>
      <c r="E570" s="166" t="s">
        <v>1102</v>
      </c>
      <c r="F570" s="166">
        <v>751.44065116284287</v>
      </c>
    </row>
    <row r="571" spans="1:6">
      <c r="A571" s="403">
        <v>1565</v>
      </c>
      <c r="B571" s="403">
        <v>63</v>
      </c>
      <c r="C571" s="166">
        <v>642</v>
      </c>
      <c r="D571" s="166">
        <v>541</v>
      </c>
      <c r="E571" s="166" t="s">
        <v>1102</v>
      </c>
      <c r="F571" s="166">
        <v>751.44065116284287</v>
      </c>
    </row>
    <row r="572" spans="1:6">
      <c r="A572" s="403">
        <v>1570</v>
      </c>
      <c r="B572" s="403">
        <v>63</v>
      </c>
      <c r="C572" s="166">
        <v>642</v>
      </c>
      <c r="D572" s="166">
        <v>541</v>
      </c>
      <c r="E572" s="166" t="s">
        <v>1102</v>
      </c>
      <c r="F572" s="166">
        <v>751.44065116284287</v>
      </c>
    </row>
    <row r="573" spans="1:6">
      <c r="A573" s="403">
        <v>1571</v>
      </c>
      <c r="B573" s="403">
        <v>63</v>
      </c>
      <c r="C573" s="166">
        <v>642</v>
      </c>
      <c r="D573" s="166">
        <v>541</v>
      </c>
      <c r="E573" s="166" t="s">
        <v>1102</v>
      </c>
      <c r="F573" s="166">
        <v>751.44065116284287</v>
      </c>
    </row>
    <row r="574" spans="1:6">
      <c r="A574" s="403">
        <v>1581</v>
      </c>
      <c r="B574" s="403">
        <v>63</v>
      </c>
      <c r="C574" s="166">
        <v>642</v>
      </c>
      <c r="D574" s="166">
        <v>541</v>
      </c>
      <c r="E574" s="166" t="s">
        <v>1102</v>
      </c>
      <c r="F574" s="166">
        <v>751.44065116284287</v>
      </c>
    </row>
    <row r="575" spans="1:6">
      <c r="A575" s="403">
        <v>1582</v>
      </c>
      <c r="B575" s="403">
        <v>63</v>
      </c>
      <c r="C575" s="166">
        <v>642</v>
      </c>
      <c r="D575" s="166">
        <v>541</v>
      </c>
      <c r="E575" s="166" t="s">
        <v>1102</v>
      </c>
      <c r="F575" s="166">
        <v>751.44065116284287</v>
      </c>
    </row>
    <row r="576" spans="1:6">
      <c r="A576" s="403">
        <v>1583</v>
      </c>
      <c r="B576" s="403">
        <v>63</v>
      </c>
      <c r="C576" s="166">
        <v>642</v>
      </c>
      <c r="D576" s="166">
        <v>541</v>
      </c>
      <c r="E576" s="166" t="s">
        <v>1102</v>
      </c>
      <c r="F576" s="166">
        <v>751.44065116284287</v>
      </c>
    </row>
    <row r="577" spans="1:6">
      <c r="A577" s="403">
        <v>1584</v>
      </c>
      <c r="B577" s="403">
        <v>63</v>
      </c>
      <c r="C577" s="166">
        <v>642</v>
      </c>
      <c r="D577" s="166">
        <v>541</v>
      </c>
      <c r="E577" s="166" t="s">
        <v>1102</v>
      </c>
      <c r="F577" s="166">
        <v>751.44065116284287</v>
      </c>
    </row>
    <row r="578" spans="1:6">
      <c r="A578" s="403">
        <v>1585</v>
      </c>
      <c r="B578" s="403">
        <v>63</v>
      </c>
      <c r="C578" s="166">
        <v>642</v>
      </c>
      <c r="D578" s="166">
        <v>541</v>
      </c>
      <c r="E578" s="166" t="s">
        <v>1102</v>
      </c>
      <c r="F578" s="166">
        <v>751.44065116284287</v>
      </c>
    </row>
    <row r="579" spans="1:6">
      <c r="A579" s="403">
        <v>1586</v>
      </c>
      <c r="B579" s="403">
        <v>63</v>
      </c>
      <c r="C579" s="166">
        <v>642</v>
      </c>
      <c r="D579" s="166">
        <v>541</v>
      </c>
      <c r="E579" s="166" t="s">
        <v>1102</v>
      </c>
      <c r="F579" s="166">
        <v>751.44065116284287</v>
      </c>
    </row>
    <row r="580" spans="1:6">
      <c r="A580" s="403">
        <v>1587</v>
      </c>
      <c r="B580" s="403">
        <v>63</v>
      </c>
      <c r="C580" s="166">
        <v>642</v>
      </c>
      <c r="D580" s="166">
        <v>541</v>
      </c>
      <c r="E580" s="166" t="s">
        <v>1102</v>
      </c>
      <c r="F580" s="166">
        <v>751.44065116284287</v>
      </c>
    </row>
    <row r="581" spans="1:6">
      <c r="A581" s="403">
        <v>1588</v>
      </c>
      <c r="B581" s="403">
        <v>63</v>
      </c>
      <c r="C581" s="166">
        <v>642</v>
      </c>
      <c r="D581" s="166">
        <v>541</v>
      </c>
      <c r="E581" s="166" t="s">
        <v>1102</v>
      </c>
      <c r="F581" s="166">
        <v>751.44065116284287</v>
      </c>
    </row>
    <row r="582" spans="1:6">
      <c r="A582" s="403">
        <v>1589</v>
      </c>
      <c r="B582" s="403">
        <v>63</v>
      </c>
      <c r="C582" s="166">
        <v>642</v>
      </c>
      <c r="D582" s="166">
        <v>541</v>
      </c>
      <c r="E582" s="166" t="s">
        <v>1102</v>
      </c>
      <c r="F582" s="166">
        <v>751.44065116284287</v>
      </c>
    </row>
    <row r="583" spans="1:6">
      <c r="A583" s="403">
        <v>1590</v>
      </c>
      <c r="B583" s="403">
        <v>63</v>
      </c>
      <c r="C583" s="166">
        <v>642</v>
      </c>
      <c r="D583" s="166">
        <v>541</v>
      </c>
      <c r="E583" s="166" t="s">
        <v>1102</v>
      </c>
      <c r="F583" s="166">
        <v>751.44065116284287</v>
      </c>
    </row>
    <row r="584" spans="1:6">
      <c r="A584" s="403">
        <v>1595</v>
      </c>
      <c r="B584" s="403">
        <v>63</v>
      </c>
      <c r="C584" s="166">
        <v>642</v>
      </c>
      <c r="D584" s="166">
        <v>541</v>
      </c>
      <c r="E584" s="166" t="s">
        <v>1102</v>
      </c>
      <c r="F584" s="166">
        <v>751.44065116284287</v>
      </c>
    </row>
    <row r="585" spans="1:6">
      <c r="A585" s="403">
        <v>1596</v>
      </c>
      <c r="B585" s="403">
        <v>63</v>
      </c>
      <c r="C585" s="166">
        <v>642</v>
      </c>
      <c r="D585" s="166">
        <v>541</v>
      </c>
      <c r="E585" s="166" t="s">
        <v>1102</v>
      </c>
      <c r="F585" s="166">
        <v>751.44065116284287</v>
      </c>
    </row>
    <row r="586" spans="1:6">
      <c r="A586" s="403">
        <v>1597</v>
      </c>
      <c r="B586" s="403">
        <v>63</v>
      </c>
      <c r="C586" s="166">
        <v>642</v>
      </c>
      <c r="D586" s="166">
        <v>541</v>
      </c>
      <c r="E586" s="166" t="s">
        <v>1102</v>
      </c>
      <c r="F586" s="166">
        <v>751.44065116284287</v>
      </c>
    </row>
    <row r="587" spans="1:6">
      <c r="A587" s="403">
        <v>1598</v>
      </c>
      <c r="B587" s="403">
        <v>63</v>
      </c>
      <c r="C587" s="166">
        <v>642</v>
      </c>
      <c r="D587" s="166">
        <v>541</v>
      </c>
      <c r="E587" s="166" t="s">
        <v>1102</v>
      </c>
      <c r="F587" s="166">
        <v>751.44065116284287</v>
      </c>
    </row>
    <row r="588" spans="1:6">
      <c r="A588" s="403">
        <v>1599</v>
      </c>
      <c r="B588" s="403">
        <v>63</v>
      </c>
      <c r="C588" s="166">
        <v>642</v>
      </c>
      <c r="D588" s="166">
        <v>541</v>
      </c>
      <c r="E588" s="166" t="s">
        <v>1102</v>
      </c>
      <c r="F588" s="166">
        <v>751.44065116284287</v>
      </c>
    </row>
    <row r="589" spans="1:6">
      <c r="A589" s="403">
        <v>1600</v>
      </c>
      <c r="B589" s="403">
        <v>63</v>
      </c>
      <c r="C589" s="166">
        <v>642</v>
      </c>
      <c r="D589" s="166">
        <v>541</v>
      </c>
      <c r="E589" s="166" t="s">
        <v>1102</v>
      </c>
      <c r="F589" s="166">
        <v>751.44065116284287</v>
      </c>
    </row>
    <row r="590" spans="1:6">
      <c r="A590" s="403">
        <v>1601</v>
      </c>
      <c r="B590" s="403">
        <v>63</v>
      </c>
      <c r="C590" s="166">
        <v>642</v>
      </c>
      <c r="D590" s="166">
        <v>541</v>
      </c>
      <c r="E590" s="166" t="s">
        <v>1102</v>
      </c>
      <c r="F590" s="166">
        <v>751.44065116284287</v>
      </c>
    </row>
    <row r="591" spans="1:6">
      <c r="A591" s="403">
        <v>1602</v>
      </c>
      <c r="B591" s="403">
        <v>63</v>
      </c>
      <c r="C591" s="166">
        <v>642</v>
      </c>
      <c r="D591" s="166">
        <v>541</v>
      </c>
      <c r="E591" s="166" t="s">
        <v>1102</v>
      </c>
      <c r="F591" s="166">
        <v>751.44065116284287</v>
      </c>
    </row>
    <row r="592" spans="1:6">
      <c r="A592" s="403">
        <v>1603</v>
      </c>
      <c r="B592" s="403">
        <v>63</v>
      </c>
      <c r="C592" s="166">
        <v>642</v>
      </c>
      <c r="D592" s="166">
        <v>541</v>
      </c>
      <c r="E592" s="166" t="s">
        <v>1102</v>
      </c>
      <c r="F592" s="166">
        <v>751.44065116284287</v>
      </c>
    </row>
    <row r="593" spans="1:6">
      <c r="A593" s="403">
        <v>1604</v>
      </c>
      <c r="B593" s="403">
        <v>63</v>
      </c>
      <c r="C593" s="166">
        <v>642</v>
      </c>
      <c r="D593" s="166">
        <v>541</v>
      </c>
      <c r="E593" s="166" t="s">
        <v>1102</v>
      </c>
      <c r="F593" s="166">
        <v>751.44065116284287</v>
      </c>
    </row>
    <row r="594" spans="1:6">
      <c r="A594" s="403">
        <v>1605</v>
      </c>
      <c r="B594" s="403">
        <v>63</v>
      </c>
      <c r="C594" s="166">
        <v>642</v>
      </c>
      <c r="D594" s="166">
        <v>541</v>
      </c>
      <c r="E594" s="166" t="s">
        <v>1102</v>
      </c>
      <c r="F594" s="166">
        <v>751.44065116284287</v>
      </c>
    </row>
    <row r="595" spans="1:6">
      <c r="A595" s="403">
        <v>1606</v>
      </c>
      <c r="B595" s="403">
        <v>63</v>
      </c>
      <c r="C595" s="166">
        <v>642</v>
      </c>
      <c r="D595" s="166">
        <v>541</v>
      </c>
      <c r="E595" s="166" t="s">
        <v>1102</v>
      </c>
      <c r="F595" s="166">
        <v>751.44065116284287</v>
      </c>
    </row>
    <row r="596" spans="1:6">
      <c r="A596" s="403">
        <v>1607</v>
      </c>
      <c r="B596" s="403">
        <v>63</v>
      </c>
      <c r="C596" s="166">
        <v>642</v>
      </c>
      <c r="D596" s="166">
        <v>541</v>
      </c>
      <c r="E596" s="166" t="s">
        <v>1102</v>
      </c>
      <c r="F596" s="166">
        <v>751.44065116284287</v>
      </c>
    </row>
    <row r="597" spans="1:6">
      <c r="A597" s="403">
        <v>1608</v>
      </c>
      <c r="B597" s="403">
        <v>63</v>
      </c>
      <c r="C597" s="166">
        <v>642</v>
      </c>
      <c r="D597" s="166">
        <v>541</v>
      </c>
      <c r="E597" s="166" t="s">
        <v>1102</v>
      </c>
      <c r="F597" s="166">
        <v>751.44065116284287</v>
      </c>
    </row>
    <row r="598" spans="1:6">
      <c r="A598" s="403">
        <v>1609</v>
      </c>
      <c r="B598" s="403">
        <v>63</v>
      </c>
      <c r="C598" s="166">
        <v>642</v>
      </c>
      <c r="D598" s="166">
        <v>541</v>
      </c>
      <c r="E598" s="166" t="s">
        <v>1102</v>
      </c>
      <c r="F598" s="166">
        <v>751.44065116284287</v>
      </c>
    </row>
    <row r="599" spans="1:6">
      <c r="A599" s="403">
        <v>1610</v>
      </c>
      <c r="B599" s="403">
        <v>63</v>
      </c>
      <c r="C599" s="166">
        <v>642</v>
      </c>
      <c r="D599" s="166">
        <v>541</v>
      </c>
      <c r="E599" s="166" t="s">
        <v>1102</v>
      </c>
      <c r="F599" s="166">
        <v>751.44065116284287</v>
      </c>
    </row>
    <row r="600" spans="1:6">
      <c r="A600" s="403">
        <v>1611</v>
      </c>
      <c r="B600" s="403">
        <v>63</v>
      </c>
      <c r="C600" s="166">
        <v>642</v>
      </c>
      <c r="D600" s="166">
        <v>541</v>
      </c>
      <c r="E600" s="166" t="s">
        <v>1102</v>
      </c>
      <c r="F600" s="166">
        <v>751.44065116284287</v>
      </c>
    </row>
    <row r="601" spans="1:6">
      <c r="A601" s="403">
        <v>1627</v>
      </c>
      <c r="B601" s="403">
        <v>63</v>
      </c>
      <c r="C601" s="166">
        <v>642</v>
      </c>
      <c r="D601" s="166">
        <v>541</v>
      </c>
      <c r="E601" s="166" t="s">
        <v>1102</v>
      </c>
      <c r="F601" s="166">
        <v>751.44065116284287</v>
      </c>
    </row>
    <row r="602" spans="1:6">
      <c r="A602" s="403">
        <v>1628</v>
      </c>
      <c r="B602" s="403">
        <v>63</v>
      </c>
      <c r="C602" s="166">
        <v>642</v>
      </c>
      <c r="D602" s="166">
        <v>541</v>
      </c>
      <c r="E602" s="166" t="s">
        <v>1102</v>
      </c>
      <c r="F602" s="166">
        <v>751.44065116284287</v>
      </c>
    </row>
    <row r="603" spans="1:6">
      <c r="A603" s="403">
        <v>1629</v>
      </c>
      <c r="B603" s="403">
        <v>63</v>
      </c>
      <c r="C603" s="166">
        <v>642</v>
      </c>
      <c r="D603" s="166">
        <v>541</v>
      </c>
      <c r="E603" s="166" t="s">
        <v>1102</v>
      </c>
      <c r="F603" s="166">
        <v>751.44065116284287</v>
      </c>
    </row>
    <row r="604" spans="1:6">
      <c r="A604" s="403">
        <v>1630</v>
      </c>
      <c r="B604" s="403">
        <v>63</v>
      </c>
      <c r="C604" s="166">
        <v>642</v>
      </c>
      <c r="D604" s="166">
        <v>541</v>
      </c>
      <c r="E604" s="166" t="s">
        <v>1102</v>
      </c>
      <c r="F604" s="166">
        <v>751.44065116284287</v>
      </c>
    </row>
    <row r="605" spans="1:6">
      <c r="A605" s="403">
        <v>1631</v>
      </c>
      <c r="B605" s="403">
        <v>63</v>
      </c>
      <c r="C605" s="166">
        <v>642</v>
      </c>
      <c r="D605" s="166">
        <v>541</v>
      </c>
      <c r="E605" s="166" t="s">
        <v>1102</v>
      </c>
      <c r="F605" s="166">
        <v>751.44065116284287</v>
      </c>
    </row>
    <row r="606" spans="1:6">
      <c r="A606" s="403">
        <v>1632</v>
      </c>
      <c r="B606" s="403">
        <v>63</v>
      </c>
      <c r="C606" s="166">
        <v>642</v>
      </c>
      <c r="D606" s="166">
        <v>541</v>
      </c>
      <c r="E606" s="166" t="s">
        <v>1102</v>
      </c>
      <c r="F606" s="166">
        <v>751.44065116284287</v>
      </c>
    </row>
    <row r="607" spans="1:6">
      <c r="A607" s="403">
        <v>1633</v>
      </c>
      <c r="B607" s="403">
        <v>63</v>
      </c>
      <c r="C607" s="166">
        <v>642</v>
      </c>
      <c r="D607" s="166">
        <v>541</v>
      </c>
      <c r="E607" s="166" t="s">
        <v>1102</v>
      </c>
      <c r="F607" s="166">
        <v>751.44065116284287</v>
      </c>
    </row>
    <row r="608" spans="1:6">
      <c r="A608" s="403">
        <v>1635</v>
      </c>
      <c r="B608" s="403">
        <v>63</v>
      </c>
      <c r="C608" s="166">
        <v>642</v>
      </c>
      <c r="D608" s="166">
        <v>541</v>
      </c>
      <c r="E608" s="166" t="s">
        <v>1102</v>
      </c>
      <c r="F608" s="166">
        <v>751.44065116284287</v>
      </c>
    </row>
    <row r="609" spans="1:6">
      <c r="A609" s="403">
        <v>1636</v>
      </c>
      <c r="B609" s="403">
        <v>63</v>
      </c>
      <c r="C609" s="166">
        <v>642</v>
      </c>
      <c r="D609" s="166">
        <v>541</v>
      </c>
      <c r="E609" s="166" t="s">
        <v>1102</v>
      </c>
      <c r="F609" s="166">
        <v>751.44065116284287</v>
      </c>
    </row>
    <row r="610" spans="1:6">
      <c r="A610" s="403">
        <v>1639</v>
      </c>
      <c r="B610" s="403">
        <v>63</v>
      </c>
      <c r="C610" s="166">
        <v>642</v>
      </c>
      <c r="D610" s="166">
        <v>541</v>
      </c>
      <c r="E610" s="166" t="s">
        <v>1102</v>
      </c>
      <c r="F610" s="166">
        <v>751.44065116284287</v>
      </c>
    </row>
    <row r="611" spans="1:6">
      <c r="A611" s="403">
        <v>1640</v>
      </c>
      <c r="B611" s="403">
        <v>63</v>
      </c>
      <c r="C611" s="166">
        <v>642</v>
      </c>
      <c r="D611" s="166">
        <v>541</v>
      </c>
      <c r="E611" s="166" t="s">
        <v>1102</v>
      </c>
      <c r="F611" s="166">
        <v>751.44065116284287</v>
      </c>
    </row>
    <row r="612" spans="1:6">
      <c r="A612" s="403">
        <v>1646</v>
      </c>
      <c r="B612" s="403">
        <v>63</v>
      </c>
      <c r="C612" s="166">
        <v>642</v>
      </c>
      <c r="D612" s="166">
        <v>541</v>
      </c>
      <c r="E612" s="166" t="s">
        <v>1102</v>
      </c>
      <c r="F612" s="166">
        <v>751.44065116284287</v>
      </c>
    </row>
    <row r="613" spans="1:6">
      <c r="A613" s="403">
        <v>1648</v>
      </c>
      <c r="B613" s="403">
        <v>63</v>
      </c>
      <c r="C613" s="166">
        <v>642</v>
      </c>
      <c r="D613" s="166">
        <v>541</v>
      </c>
      <c r="E613" s="166" t="s">
        <v>1102</v>
      </c>
      <c r="F613" s="166">
        <v>751.44065116284287</v>
      </c>
    </row>
    <row r="614" spans="1:6">
      <c r="A614" s="403">
        <v>1650</v>
      </c>
      <c r="B614" s="403">
        <v>63</v>
      </c>
      <c r="C614" s="166">
        <v>642</v>
      </c>
      <c r="D614" s="166">
        <v>541</v>
      </c>
      <c r="E614" s="166" t="s">
        <v>1102</v>
      </c>
      <c r="F614" s="166">
        <v>751.44065116284287</v>
      </c>
    </row>
    <row r="615" spans="1:6">
      <c r="A615" s="403">
        <v>1651</v>
      </c>
      <c r="B615" s="403">
        <v>63</v>
      </c>
      <c r="C615" s="166">
        <v>642</v>
      </c>
      <c r="D615" s="166">
        <v>541</v>
      </c>
      <c r="E615" s="166" t="s">
        <v>1102</v>
      </c>
      <c r="F615" s="166">
        <v>751.44065116284287</v>
      </c>
    </row>
    <row r="616" spans="1:6">
      <c r="A616" s="403">
        <v>1652</v>
      </c>
      <c r="B616" s="403">
        <v>63</v>
      </c>
      <c r="C616" s="166">
        <v>642</v>
      </c>
      <c r="D616" s="166">
        <v>541</v>
      </c>
      <c r="E616" s="166" t="s">
        <v>1102</v>
      </c>
      <c r="F616" s="166">
        <v>751.44065116284287</v>
      </c>
    </row>
    <row r="617" spans="1:6">
      <c r="A617" s="403">
        <v>1653</v>
      </c>
      <c r="B617" s="403">
        <v>63</v>
      </c>
      <c r="C617" s="166">
        <v>642</v>
      </c>
      <c r="D617" s="166">
        <v>541</v>
      </c>
      <c r="E617" s="166" t="s">
        <v>1102</v>
      </c>
      <c r="F617" s="166">
        <v>751.44065116284287</v>
      </c>
    </row>
    <row r="618" spans="1:6">
      <c r="A618" s="403">
        <v>1654</v>
      </c>
      <c r="B618" s="403">
        <v>63</v>
      </c>
      <c r="C618" s="166">
        <v>642</v>
      </c>
      <c r="D618" s="166">
        <v>541</v>
      </c>
      <c r="E618" s="166" t="s">
        <v>1102</v>
      </c>
      <c r="F618" s="166">
        <v>751.44065116284287</v>
      </c>
    </row>
    <row r="619" spans="1:6">
      <c r="A619" s="403">
        <v>1655</v>
      </c>
      <c r="B619" s="403">
        <v>63</v>
      </c>
      <c r="C619" s="166">
        <v>642</v>
      </c>
      <c r="D619" s="166">
        <v>541</v>
      </c>
      <c r="E619" s="166" t="s">
        <v>1102</v>
      </c>
      <c r="F619" s="166">
        <v>751.44065116284287</v>
      </c>
    </row>
    <row r="620" spans="1:6">
      <c r="A620" s="403">
        <v>1656</v>
      </c>
      <c r="B620" s="403">
        <v>63</v>
      </c>
      <c r="C620" s="166">
        <v>642</v>
      </c>
      <c r="D620" s="166">
        <v>541</v>
      </c>
      <c r="E620" s="166" t="s">
        <v>1102</v>
      </c>
      <c r="F620" s="166">
        <v>751.44065116284287</v>
      </c>
    </row>
    <row r="621" spans="1:6">
      <c r="A621" s="403">
        <v>1657</v>
      </c>
      <c r="B621" s="403">
        <v>63</v>
      </c>
      <c r="C621" s="166">
        <v>642</v>
      </c>
      <c r="D621" s="166">
        <v>541</v>
      </c>
      <c r="E621" s="166" t="s">
        <v>1102</v>
      </c>
      <c r="F621" s="166">
        <v>751.44065116284287</v>
      </c>
    </row>
    <row r="622" spans="1:6">
      <c r="A622" s="403">
        <v>1658</v>
      </c>
      <c r="B622" s="403">
        <v>63</v>
      </c>
      <c r="C622" s="166">
        <v>642</v>
      </c>
      <c r="D622" s="166">
        <v>541</v>
      </c>
      <c r="E622" s="166" t="s">
        <v>1102</v>
      </c>
      <c r="F622" s="166">
        <v>751.44065116284287</v>
      </c>
    </row>
    <row r="623" spans="1:6">
      <c r="A623" s="403">
        <v>1659</v>
      </c>
      <c r="B623" s="403">
        <v>63</v>
      </c>
      <c r="C623" s="166">
        <v>642</v>
      </c>
      <c r="D623" s="166">
        <v>541</v>
      </c>
      <c r="E623" s="166" t="s">
        <v>1102</v>
      </c>
      <c r="F623" s="166">
        <v>751.44065116284287</v>
      </c>
    </row>
    <row r="624" spans="1:6">
      <c r="A624" s="403">
        <v>1660</v>
      </c>
      <c r="B624" s="403">
        <v>63</v>
      </c>
      <c r="C624" s="166">
        <v>642</v>
      </c>
      <c r="D624" s="166">
        <v>541</v>
      </c>
      <c r="E624" s="166" t="s">
        <v>1102</v>
      </c>
      <c r="F624" s="166">
        <v>751.44065116284287</v>
      </c>
    </row>
    <row r="625" spans="1:6">
      <c r="A625" s="403">
        <v>1670</v>
      </c>
      <c r="B625" s="403">
        <v>63</v>
      </c>
      <c r="C625" s="166">
        <v>642</v>
      </c>
      <c r="D625" s="166">
        <v>541</v>
      </c>
      <c r="E625" s="166" t="s">
        <v>1102</v>
      </c>
      <c r="F625" s="166">
        <v>751.44065116284287</v>
      </c>
    </row>
    <row r="626" spans="1:6">
      <c r="A626" s="403">
        <v>1671</v>
      </c>
      <c r="B626" s="403">
        <v>63</v>
      </c>
      <c r="C626" s="166">
        <v>642</v>
      </c>
      <c r="D626" s="166">
        <v>541</v>
      </c>
      <c r="E626" s="166" t="s">
        <v>1102</v>
      </c>
      <c r="F626" s="166">
        <v>751.44065116284287</v>
      </c>
    </row>
    <row r="627" spans="1:6">
      <c r="A627" s="403">
        <v>1672</v>
      </c>
      <c r="B627" s="403">
        <v>63</v>
      </c>
      <c r="C627" s="166">
        <v>642</v>
      </c>
      <c r="D627" s="166">
        <v>541</v>
      </c>
      <c r="E627" s="166" t="s">
        <v>1102</v>
      </c>
      <c r="F627" s="166">
        <v>751.44065116284287</v>
      </c>
    </row>
    <row r="628" spans="1:6">
      <c r="A628" s="403">
        <v>1673</v>
      </c>
      <c r="B628" s="403">
        <v>63</v>
      </c>
      <c r="C628" s="166">
        <v>642</v>
      </c>
      <c r="D628" s="166">
        <v>541</v>
      </c>
      <c r="E628" s="166" t="s">
        <v>1102</v>
      </c>
      <c r="F628" s="166">
        <v>751.44065116284287</v>
      </c>
    </row>
    <row r="629" spans="1:6">
      <c r="A629" s="403">
        <v>1674</v>
      </c>
      <c r="B629" s="403">
        <v>63</v>
      </c>
      <c r="C629" s="166">
        <v>642</v>
      </c>
      <c r="D629" s="166">
        <v>541</v>
      </c>
      <c r="E629" s="166" t="s">
        <v>1102</v>
      </c>
      <c r="F629" s="166">
        <v>751.44065116284287</v>
      </c>
    </row>
    <row r="630" spans="1:6">
      <c r="A630" s="403">
        <v>1675</v>
      </c>
      <c r="B630" s="403">
        <v>63</v>
      </c>
      <c r="C630" s="166">
        <v>642</v>
      </c>
      <c r="D630" s="166">
        <v>541</v>
      </c>
      <c r="E630" s="166" t="s">
        <v>1102</v>
      </c>
      <c r="F630" s="166">
        <v>751.44065116284287</v>
      </c>
    </row>
    <row r="631" spans="1:6">
      <c r="A631" s="403">
        <v>1676</v>
      </c>
      <c r="B631" s="403">
        <v>63</v>
      </c>
      <c r="C631" s="166">
        <v>642</v>
      </c>
      <c r="D631" s="166">
        <v>541</v>
      </c>
      <c r="E631" s="166" t="s">
        <v>1102</v>
      </c>
      <c r="F631" s="166">
        <v>751.44065116284287</v>
      </c>
    </row>
    <row r="632" spans="1:6">
      <c r="A632" s="403">
        <v>1677</v>
      </c>
      <c r="B632" s="403">
        <v>63</v>
      </c>
      <c r="C632" s="166">
        <v>642</v>
      </c>
      <c r="D632" s="166">
        <v>541</v>
      </c>
      <c r="E632" s="166" t="s">
        <v>1102</v>
      </c>
      <c r="F632" s="166">
        <v>751.44065116284287</v>
      </c>
    </row>
    <row r="633" spans="1:6">
      <c r="A633" s="403">
        <v>1678</v>
      </c>
      <c r="B633" s="403">
        <v>63</v>
      </c>
      <c r="C633" s="166">
        <v>642</v>
      </c>
      <c r="D633" s="166">
        <v>541</v>
      </c>
      <c r="E633" s="166" t="s">
        <v>1102</v>
      </c>
      <c r="F633" s="166">
        <v>751.44065116284287</v>
      </c>
    </row>
    <row r="634" spans="1:6">
      <c r="A634" s="403">
        <v>1679</v>
      </c>
      <c r="B634" s="403">
        <v>63</v>
      </c>
      <c r="C634" s="166">
        <v>642</v>
      </c>
      <c r="D634" s="166">
        <v>541</v>
      </c>
      <c r="E634" s="166" t="s">
        <v>1102</v>
      </c>
      <c r="F634" s="166">
        <v>751.44065116284287</v>
      </c>
    </row>
    <row r="635" spans="1:6">
      <c r="A635" s="403">
        <v>1680</v>
      </c>
      <c r="B635" s="403">
        <v>63</v>
      </c>
      <c r="C635" s="166">
        <v>642</v>
      </c>
      <c r="D635" s="166">
        <v>541</v>
      </c>
      <c r="E635" s="166" t="s">
        <v>1102</v>
      </c>
      <c r="F635" s="166">
        <v>751.44065116284287</v>
      </c>
    </row>
    <row r="636" spans="1:6">
      <c r="A636" s="403">
        <v>1681</v>
      </c>
      <c r="B636" s="403">
        <v>63</v>
      </c>
      <c r="C636" s="166">
        <v>642</v>
      </c>
      <c r="D636" s="166">
        <v>541</v>
      </c>
      <c r="E636" s="166" t="s">
        <v>1102</v>
      </c>
      <c r="F636" s="166">
        <v>751.44065116284287</v>
      </c>
    </row>
    <row r="637" spans="1:6">
      <c r="A637" s="403">
        <v>1682</v>
      </c>
      <c r="B637" s="403">
        <v>63</v>
      </c>
      <c r="C637" s="166">
        <v>642</v>
      </c>
      <c r="D637" s="166">
        <v>541</v>
      </c>
      <c r="E637" s="166" t="s">
        <v>1102</v>
      </c>
      <c r="F637" s="166">
        <v>751.44065116284287</v>
      </c>
    </row>
    <row r="638" spans="1:6">
      <c r="A638" s="403">
        <v>1683</v>
      </c>
      <c r="B638" s="403">
        <v>63</v>
      </c>
      <c r="C638" s="166">
        <v>642</v>
      </c>
      <c r="D638" s="166">
        <v>541</v>
      </c>
      <c r="E638" s="166" t="s">
        <v>1102</v>
      </c>
      <c r="F638" s="166">
        <v>751.44065116284287</v>
      </c>
    </row>
    <row r="639" spans="1:6">
      <c r="A639" s="403">
        <v>1684</v>
      </c>
      <c r="B639" s="403">
        <v>63</v>
      </c>
      <c r="C639" s="166">
        <v>642</v>
      </c>
      <c r="D639" s="166">
        <v>541</v>
      </c>
      <c r="E639" s="166" t="s">
        <v>1102</v>
      </c>
      <c r="F639" s="166">
        <v>751.44065116284287</v>
      </c>
    </row>
    <row r="640" spans="1:6">
      <c r="A640" s="403">
        <v>1685</v>
      </c>
      <c r="B640" s="403">
        <v>63</v>
      </c>
      <c r="C640" s="166">
        <v>642</v>
      </c>
      <c r="D640" s="166">
        <v>541</v>
      </c>
      <c r="E640" s="166" t="s">
        <v>1102</v>
      </c>
      <c r="F640" s="166">
        <v>751.44065116284287</v>
      </c>
    </row>
    <row r="641" spans="1:6">
      <c r="A641" s="403">
        <v>1686</v>
      </c>
      <c r="B641" s="403">
        <v>63</v>
      </c>
      <c r="C641" s="166">
        <v>642</v>
      </c>
      <c r="D641" s="166">
        <v>541</v>
      </c>
      <c r="E641" s="166" t="s">
        <v>1102</v>
      </c>
      <c r="F641" s="166">
        <v>751.44065116284287</v>
      </c>
    </row>
    <row r="642" spans="1:6">
      <c r="A642" s="403">
        <v>1687</v>
      </c>
      <c r="B642" s="403">
        <v>63</v>
      </c>
      <c r="C642" s="166">
        <v>642</v>
      </c>
      <c r="D642" s="166">
        <v>541</v>
      </c>
      <c r="E642" s="166" t="s">
        <v>1102</v>
      </c>
      <c r="F642" s="166">
        <v>751.44065116284287</v>
      </c>
    </row>
    <row r="643" spans="1:6">
      <c r="A643" s="403">
        <v>1688</v>
      </c>
      <c r="B643" s="403">
        <v>63</v>
      </c>
      <c r="C643" s="166">
        <v>642</v>
      </c>
      <c r="D643" s="166">
        <v>541</v>
      </c>
      <c r="E643" s="166" t="s">
        <v>1102</v>
      </c>
      <c r="F643" s="166">
        <v>751.44065116284287</v>
      </c>
    </row>
    <row r="644" spans="1:6">
      <c r="A644" s="403">
        <v>1689</v>
      </c>
      <c r="B644" s="403">
        <v>63</v>
      </c>
      <c r="C644" s="166">
        <v>642</v>
      </c>
      <c r="D644" s="166">
        <v>541</v>
      </c>
      <c r="E644" s="166" t="s">
        <v>1102</v>
      </c>
      <c r="F644" s="166">
        <v>751.44065116284287</v>
      </c>
    </row>
    <row r="645" spans="1:6">
      <c r="A645" s="403">
        <v>1690</v>
      </c>
      <c r="B645" s="403">
        <v>63</v>
      </c>
      <c r="C645" s="166">
        <v>642</v>
      </c>
      <c r="D645" s="166">
        <v>541</v>
      </c>
      <c r="E645" s="166" t="s">
        <v>1102</v>
      </c>
      <c r="F645" s="166">
        <v>751.44065116284287</v>
      </c>
    </row>
    <row r="646" spans="1:6">
      <c r="A646" s="403">
        <v>1691</v>
      </c>
      <c r="B646" s="403">
        <v>63</v>
      </c>
      <c r="C646" s="166">
        <v>642</v>
      </c>
      <c r="D646" s="166">
        <v>541</v>
      </c>
      <c r="E646" s="166" t="s">
        <v>1102</v>
      </c>
      <c r="F646" s="166">
        <v>751.44065116284287</v>
      </c>
    </row>
    <row r="647" spans="1:6">
      <c r="A647" s="403">
        <v>1692</v>
      </c>
      <c r="B647" s="403">
        <v>63</v>
      </c>
      <c r="C647" s="166">
        <v>642</v>
      </c>
      <c r="D647" s="166">
        <v>541</v>
      </c>
      <c r="E647" s="166" t="s">
        <v>1102</v>
      </c>
      <c r="F647" s="166">
        <v>751.44065116284287</v>
      </c>
    </row>
    <row r="648" spans="1:6">
      <c r="A648" s="403">
        <v>1693</v>
      </c>
      <c r="B648" s="403">
        <v>63</v>
      </c>
      <c r="C648" s="166">
        <v>642</v>
      </c>
      <c r="D648" s="166">
        <v>541</v>
      </c>
      <c r="E648" s="166" t="s">
        <v>1102</v>
      </c>
      <c r="F648" s="166">
        <v>751.44065116284287</v>
      </c>
    </row>
    <row r="649" spans="1:6">
      <c r="A649" s="403">
        <v>1694</v>
      </c>
      <c r="B649" s="403">
        <v>63</v>
      </c>
      <c r="C649" s="166">
        <v>642</v>
      </c>
      <c r="D649" s="166">
        <v>541</v>
      </c>
      <c r="E649" s="166" t="s">
        <v>1102</v>
      </c>
      <c r="F649" s="166">
        <v>751.44065116284287</v>
      </c>
    </row>
    <row r="650" spans="1:6">
      <c r="A650" s="403">
        <v>1695</v>
      </c>
      <c r="B650" s="403">
        <v>63</v>
      </c>
      <c r="C650" s="166">
        <v>642</v>
      </c>
      <c r="D650" s="166">
        <v>541</v>
      </c>
      <c r="E650" s="166" t="s">
        <v>1102</v>
      </c>
      <c r="F650" s="166">
        <v>751.44065116284287</v>
      </c>
    </row>
    <row r="651" spans="1:6">
      <c r="A651" s="403">
        <v>1696</v>
      </c>
      <c r="B651" s="403">
        <v>63</v>
      </c>
      <c r="C651" s="166">
        <v>642</v>
      </c>
      <c r="D651" s="166">
        <v>541</v>
      </c>
      <c r="E651" s="166" t="s">
        <v>1102</v>
      </c>
      <c r="F651" s="166">
        <v>751.44065116284287</v>
      </c>
    </row>
    <row r="652" spans="1:6">
      <c r="A652" s="403">
        <v>1697</v>
      </c>
      <c r="B652" s="403">
        <v>63</v>
      </c>
      <c r="C652" s="166">
        <v>642</v>
      </c>
      <c r="D652" s="166">
        <v>541</v>
      </c>
      <c r="E652" s="166" t="s">
        <v>1102</v>
      </c>
      <c r="F652" s="166">
        <v>751.44065116284287</v>
      </c>
    </row>
    <row r="653" spans="1:6">
      <c r="A653" s="403">
        <v>1698</v>
      </c>
      <c r="B653" s="403">
        <v>63</v>
      </c>
      <c r="C653" s="166">
        <v>642</v>
      </c>
      <c r="D653" s="166">
        <v>541</v>
      </c>
      <c r="E653" s="166" t="s">
        <v>1102</v>
      </c>
      <c r="F653" s="166">
        <v>751.44065116284287</v>
      </c>
    </row>
    <row r="654" spans="1:6">
      <c r="A654" s="403">
        <v>1699</v>
      </c>
      <c r="B654" s="403">
        <v>63</v>
      </c>
      <c r="C654" s="166">
        <v>642</v>
      </c>
      <c r="D654" s="166">
        <v>541</v>
      </c>
      <c r="E654" s="166" t="s">
        <v>1102</v>
      </c>
      <c r="F654" s="166">
        <v>751.44065116284287</v>
      </c>
    </row>
    <row r="655" spans="1:6">
      <c r="A655" s="403">
        <v>1700</v>
      </c>
      <c r="B655" s="403">
        <v>63</v>
      </c>
      <c r="C655" s="166">
        <v>642</v>
      </c>
      <c r="D655" s="166">
        <v>541</v>
      </c>
      <c r="E655" s="166" t="s">
        <v>1102</v>
      </c>
      <c r="F655" s="166">
        <v>751.44065116284287</v>
      </c>
    </row>
    <row r="656" spans="1:6">
      <c r="A656" s="403">
        <v>1701</v>
      </c>
      <c r="B656" s="403">
        <v>63</v>
      </c>
      <c r="C656" s="166">
        <v>642</v>
      </c>
      <c r="D656" s="166">
        <v>541</v>
      </c>
      <c r="E656" s="166" t="s">
        <v>1102</v>
      </c>
      <c r="F656" s="166">
        <v>751.44065116284287</v>
      </c>
    </row>
    <row r="657" spans="1:6">
      <c r="A657" s="403">
        <v>1707</v>
      </c>
      <c r="B657" s="403">
        <v>63</v>
      </c>
      <c r="C657" s="166">
        <v>642</v>
      </c>
      <c r="D657" s="166">
        <v>541</v>
      </c>
      <c r="E657" s="166" t="s">
        <v>1102</v>
      </c>
      <c r="F657" s="166">
        <v>751.44065116284287</v>
      </c>
    </row>
    <row r="658" spans="1:6">
      <c r="A658" s="403">
        <v>1708</v>
      </c>
      <c r="B658" s="403">
        <v>63</v>
      </c>
      <c r="C658" s="166">
        <v>642</v>
      </c>
      <c r="D658" s="166">
        <v>541</v>
      </c>
      <c r="E658" s="166" t="s">
        <v>1102</v>
      </c>
      <c r="F658" s="166">
        <v>751.44065116284287</v>
      </c>
    </row>
    <row r="659" spans="1:6">
      <c r="A659" s="403">
        <v>1709</v>
      </c>
      <c r="B659" s="403">
        <v>63</v>
      </c>
      <c r="C659" s="166">
        <v>642</v>
      </c>
      <c r="D659" s="166">
        <v>541</v>
      </c>
      <c r="E659" s="166" t="s">
        <v>1102</v>
      </c>
      <c r="F659" s="166">
        <v>751.44065116284287</v>
      </c>
    </row>
    <row r="660" spans="1:6">
      <c r="A660" s="403">
        <v>1710</v>
      </c>
      <c r="B660" s="403">
        <v>63</v>
      </c>
      <c r="C660" s="166">
        <v>642</v>
      </c>
      <c r="D660" s="166">
        <v>541</v>
      </c>
      <c r="E660" s="166" t="s">
        <v>1102</v>
      </c>
      <c r="F660" s="166">
        <v>751.44065116284287</v>
      </c>
    </row>
    <row r="661" spans="1:6">
      <c r="A661" s="403">
        <v>1711</v>
      </c>
      <c r="B661" s="403">
        <v>63</v>
      </c>
      <c r="C661" s="166">
        <v>642</v>
      </c>
      <c r="D661" s="166">
        <v>541</v>
      </c>
      <c r="E661" s="166" t="s">
        <v>1102</v>
      </c>
      <c r="F661" s="166">
        <v>751.44065116284287</v>
      </c>
    </row>
    <row r="662" spans="1:6">
      <c r="A662" s="403">
        <v>1712</v>
      </c>
      <c r="B662" s="403">
        <v>63</v>
      </c>
      <c r="C662" s="166">
        <v>642</v>
      </c>
      <c r="D662" s="166">
        <v>541</v>
      </c>
      <c r="E662" s="166" t="s">
        <v>1102</v>
      </c>
      <c r="F662" s="166">
        <v>751.44065116284287</v>
      </c>
    </row>
    <row r="663" spans="1:6">
      <c r="A663" s="403">
        <v>1713</v>
      </c>
      <c r="B663" s="403">
        <v>63</v>
      </c>
      <c r="C663" s="166">
        <v>642</v>
      </c>
      <c r="D663" s="166">
        <v>541</v>
      </c>
      <c r="E663" s="166" t="s">
        <v>1102</v>
      </c>
      <c r="F663" s="166">
        <v>751.44065116284287</v>
      </c>
    </row>
    <row r="664" spans="1:6">
      <c r="A664" s="403">
        <v>1714</v>
      </c>
      <c r="B664" s="403">
        <v>63</v>
      </c>
      <c r="C664" s="166">
        <v>642</v>
      </c>
      <c r="D664" s="166">
        <v>541</v>
      </c>
      <c r="E664" s="166" t="s">
        <v>1102</v>
      </c>
      <c r="F664" s="166">
        <v>751.44065116284287</v>
      </c>
    </row>
    <row r="665" spans="1:6">
      <c r="A665" s="403">
        <v>1715</v>
      </c>
      <c r="B665" s="403">
        <v>63</v>
      </c>
      <c r="C665" s="166">
        <v>642</v>
      </c>
      <c r="D665" s="166">
        <v>541</v>
      </c>
      <c r="E665" s="166" t="s">
        <v>1102</v>
      </c>
      <c r="F665" s="166">
        <v>751.44065116284287</v>
      </c>
    </row>
    <row r="666" spans="1:6">
      <c r="A666" s="403">
        <v>1725</v>
      </c>
      <c r="B666" s="403">
        <v>63</v>
      </c>
      <c r="C666" s="166">
        <v>642</v>
      </c>
      <c r="D666" s="166">
        <v>541</v>
      </c>
      <c r="E666" s="166" t="s">
        <v>1102</v>
      </c>
      <c r="F666" s="166">
        <v>751.44065116284287</v>
      </c>
    </row>
    <row r="667" spans="1:6">
      <c r="A667" s="403">
        <v>1726</v>
      </c>
      <c r="B667" s="403">
        <v>63</v>
      </c>
      <c r="C667" s="166">
        <v>642</v>
      </c>
      <c r="D667" s="166">
        <v>541</v>
      </c>
      <c r="E667" s="166" t="s">
        <v>1102</v>
      </c>
      <c r="F667" s="166">
        <v>751.44065116284287</v>
      </c>
    </row>
    <row r="668" spans="1:6">
      <c r="A668" s="403">
        <v>1727</v>
      </c>
      <c r="B668" s="403">
        <v>63</v>
      </c>
      <c r="C668" s="166">
        <v>642</v>
      </c>
      <c r="D668" s="166">
        <v>541</v>
      </c>
      <c r="E668" s="166" t="s">
        <v>1102</v>
      </c>
      <c r="F668" s="166">
        <v>751.44065116284287</v>
      </c>
    </row>
    <row r="669" spans="1:6">
      <c r="A669" s="403">
        <v>1728</v>
      </c>
      <c r="B669" s="403">
        <v>63</v>
      </c>
      <c r="C669" s="166">
        <v>642</v>
      </c>
      <c r="D669" s="166">
        <v>541</v>
      </c>
      <c r="E669" s="166" t="s">
        <v>1102</v>
      </c>
      <c r="F669" s="166">
        <v>751.44065116284287</v>
      </c>
    </row>
    <row r="670" spans="1:6">
      <c r="A670" s="403">
        <v>1730</v>
      </c>
      <c r="B670" s="403">
        <v>63</v>
      </c>
      <c r="C670" s="166">
        <v>642</v>
      </c>
      <c r="D670" s="166">
        <v>541</v>
      </c>
      <c r="E670" s="166" t="s">
        <v>1102</v>
      </c>
      <c r="F670" s="166">
        <v>751.44065116284287</v>
      </c>
    </row>
    <row r="671" spans="1:6">
      <c r="A671" s="403">
        <v>1738</v>
      </c>
      <c r="B671" s="403">
        <v>63</v>
      </c>
      <c r="C671" s="166">
        <v>642</v>
      </c>
      <c r="D671" s="166">
        <v>541</v>
      </c>
      <c r="E671" s="166" t="s">
        <v>1102</v>
      </c>
      <c r="F671" s="166">
        <v>751.44065116284287</v>
      </c>
    </row>
    <row r="672" spans="1:6">
      <c r="A672" s="403">
        <v>1739</v>
      </c>
      <c r="B672" s="403">
        <v>63</v>
      </c>
      <c r="C672" s="166">
        <v>642</v>
      </c>
      <c r="D672" s="166">
        <v>541</v>
      </c>
      <c r="E672" s="166" t="s">
        <v>1102</v>
      </c>
      <c r="F672" s="166">
        <v>751.44065116284287</v>
      </c>
    </row>
    <row r="673" spans="1:6">
      <c r="A673" s="403">
        <v>1740</v>
      </c>
      <c r="B673" s="403">
        <v>63</v>
      </c>
      <c r="C673" s="166">
        <v>642</v>
      </c>
      <c r="D673" s="166">
        <v>541</v>
      </c>
      <c r="E673" s="166" t="s">
        <v>1102</v>
      </c>
      <c r="F673" s="166">
        <v>751.44065116284287</v>
      </c>
    </row>
    <row r="674" spans="1:6">
      <c r="A674" s="403">
        <v>1741</v>
      </c>
      <c r="B674" s="403">
        <v>63</v>
      </c>
      <c r="C674" s="166">
        <v>642</v>
      </c>
      <c r="D674" s="166">
        <v>541</v>
      </c>
      <c r="E674" s="166" t="s">
        <v>1102</v>
      </c>
      <c r="F674" s="166">
        <v>751.44065116284287</v>
      </c>
    </row>
    <row r="675" spans="1:6">
      <c r="A675" s="403">
        <v>1742</v>
      </c>
      <c r="B675" s="403">
        <v>63</v>
      </c>
      <c r="C675" s="166">
        <v>642</v>
      </c>
      <c r="D675" s="166">
        <v>541</v>
      </c>
      <c r="E675" s="166" t="s">
        <v>1102</v>
      </c>
      <c r="F675" s="166">
        <v>751.44065116284287</v>
      </c>
    </row>
    <row r="676" spans="1:6">
      <c r="A676" s="403">
        <v>1743</v>
      </c>
      <c r="B676" s="403">
        <v>63</v>
      </c>
      <c r="C676" s="166">
        <v>642</v>
      </c>
      <c r="D676" s="166">
        <v>541</v>
      </c>
      <c r="E676" s="166" t="s">
        <v>1102</v>
      </c>
      <c r="F676" s="166">
        <v>751.44065116284287</v>
      </c>
    </row>
    <row r="677" spans="1:6">
      <c r="A677" s="403">
        <v>1744</v>
      </c>
      <c r="B677" s="403">
        <v>63</v>
      </c>
      <c r="C677" s="166">
        <v>642</v>
      </c>
      <c r="D677" s="166">
        <v>541</v>
      </c>
      <c r="E677" s="166" t="s">
        <v>1102</v>
      </c>
      <c r="F677" s="166">
        <v>751.44065116284287</v>
      </c>
    </row>
    <row r="678" spans="1:6">
      <c r="A678" s="403">
        <v>1745</v>
      </c>
      <c r="B678" s="403">
        <v>63</v>
      </c>
      <c r="C678" s="166">
        <v>642</v>
      </c>
      <c r="D678" s="166">
        <v>541</v>
      </c>
      <c r="E678" s="166" t="s">
        <v>1102</v>
      </c>
      <c r="F678" s="166">
        <v>751.44065116284287</v>
      </c>
    </row>
    <row r="679" spans="1:6">
      <c r="A679" s="403">
        <v>1746</v>
      </c>
      <c r="B679" s="403">
        <v>63</v>
      </c>
      <c r="C679" s="166">
        <v>642</v>
      </c>
      <c r="D679" s="166">
        <v>541</v>
      </c>
      <c r="E679" s="166" t="s">
        <v>1102</v>
      </c>
      <c r="F679" s="166">
        <v>751.44065116284287</v>
      </c>
    </row>
    <row r="680" spans="1:6">
      <c r="A680" s="403">
        <v>1747</v>
      </c>
      <c r="B680" s="403">
        <v>63</v>
      </c>
      <c r="C680" s="166">
        <v>642</v>
      </c>
      <c r="D680" s="166">
        <v>541</v>
      </c>
      <c r="E680" s="166" t="s">
        <v>1102</v>
      </c>
      <c r="F680" s="166">
        <v>751.44065116284287</v>
      </c>
    </row>
    <row r="681" spans="1:6">
      <c r="A681" s="403">
        <v>1748</v>
      </c>
      <c r="B681" s="403">
        <v>63</v>
      </c>
      <c r="C681" s="166">
        <v>642</v>
      </c>
      <c r="D681" s="166">
        <v>541</v>
      </c>
      <c r="E681" s="166" t="s">
        <v>1102</v>
      </c>
      <c r="F681" s="166">
        <v>751.44065116284287</v>
      </c>
    </row>
    <row r="682" spans="1:6">
      <c r="A682" s="403">
        <v>1749</v>
      </c>
      <c r="B682" s="403">
        <v>63</v>
      </c>
      <c r="C682" s="166">
        <v>642</v>
      </c>
      <c r="D682" s="166">
        <v>541</v>
      </c>
      <c r="E682" s="166" t="s">
        <v>1102</v>
      </c>
      <c r="F682" s="166">
        <v>751.44065116284287</v>
      </c>
    </row>
    <row r="683" spans="1:6">
      <c r="A683" s="403">
        <v>1750</v>
      </c>
      <c r="B683" s="403">
        <v>63</v>
      </c>
      <c r="C683" s="166">
        <v>642</v>
      </c>
      <c r="D683" s="166">
        <v>541</v>
      </c>
      <c r="E683" s="166" t="s">
        <v>1102</v>
      </c>
      <c r="F683" s="166">
        <v>751.44065116284287</v>
      </c>
    </row>
    <row r="684" spans="1:6">
      <c r="A684" s="403">
        <v>1755</v>
      </c>
      <c r="B684" s="403">
        <v>63</v>
      </c>
      <c r="C684" s="166">
        <v>642</v>
      </c>
      <c r="D684" s="166">
        <v>541</v>
      </c>
      <c r="E684" s="166" t="s">
        <v>1102</v>
      </c>
      <c r="F684" s="166">
        <v>751.44065116284287</v>
      </c>
    </row>
    <row r="685" spans="1:6">
      <c r="A685" s="403">
        <v>1764</v>
      </c>
      <c r="B685" s="403">
        <v>63</v>
      </c>
      <c r="C685" s="166">
        <v>642</v>
      </c>
      <c r="D685" s="166">
        <v>541</v>
      </c>
      <c r="E685" s="166" t="s">
        <v>1102</v>
      </c>
      <c r="F685" s="166">
        <v>751.44065116284287</v>
      </c>
    </row>
    <row r="686" spans="1:6">
      <c r="A686" s="403">
        <v>1765</v>
      </c>
      <c r="B686" s="403">
        <v>63</v>
      </c>
      <c r="C686" s="166">
        <v>642</v>
      </c>
      <c r="D686" s="166">
        <v>541</v>
      </c>
      <c r="E686" s="166" t="s">
        <v>1102</v>
      </c>
      <c r="F686" s="166">
        <v>751.44065116284287</v>
      </c>
    </row>
    <row r="687" spans="1:6">
      <c r="A687" s="403">
        <v>1771</v>
      </c>
      <c r="B687" s="403">
        <v>63</v>
      </c>
      <c r="C687" s="166">
        <v>642</v>
      </c>
      <c r="D687" s="166">
        <v>541</v>
      </c>
      <c r="E687" s="166" t="s">
        <v>1102</v>
      </c>
      <c r="F687" s="166">
        <v>751.44065116284287</v>
      </c>
    </row>
    <row r="688" spans="1:6">
      <c r="A688" s="403">
        <v>1772</v>
      </c>
      <c r="B688" s="403">
        <v>63</v>
      </c>
      <c r="C688" s="166">
        <v>642</v>
      </c>
      <c r="D688" s="166">
        <v>541</v>
      </c>
      <c r="E688" s="166" t="s">
        <v>1102</v>
      </c>
      <c r="F688" s="166">
        <v>751.44065116284287</v>
      </c>
    </row>
    <row r="689" spans="1:6">
      <c r="A689" s="403">
        <v>1773</v>
      </c>
      <c r="B689" s="403">
        <v>63</v>
      </c>
      <c r="C689" s="166">
        <v>642</v>
      </c>
      <c r="D689" s="166">
        <v>541</v>
      </c>
      <c r="E689" s="166" t="s">
        <v>1102</v>
      </c>
      <c r="F689" s="166">
        <v>751.44065116284287</v>
      </c>
    </row>
    <row r="690" spans="1:6">
      <c r="A690" s="403">
        <v>1774</v>
      </c>
      <c r="B690" s="403">
        <v>63</v>
      </c>
      <c r="C690" s="166">
        <v>642</v>
      </c>
      <c r="D690" s="166">
        <v>541</v>
      </c>
      <c r="E690" s="166" t="s">
        <v>1102</v>
      </c>
      <c r="F690" s="166">
        <v>751.44065116284287</v>
      </c>
    </row>
    <row r="691" spans="1:6">
      <c r="A691" s="403">
        <v>1775</v>
      </c>
      <c r="B691" s="403">
        <v>63</v>
      </c>
      <c r="C691" s="166">
        <v>642</v>
      </c>
      <c r="D691" s="166">
        <v>541</v>
      </c>
      <c r="E691" s="166" t="s">
        <v>1102</v>
      </c>
      <c r="F691" s="166">
        <v>751.44065116284287</v>
      </c>
    </row>
    <row r="692" spans="1:6">
      <c r="A692" s="403">
        <v>1776</v>
      </c>
      <c r="B692" s="403">
        <v>63</v>
      </c>
      <c r="C692" s="166">
        <v>642</v>
      </c>
      <c r="D692" s="166">
        <v>541</v>
      </c>
      <c r="E692" s="166" t="s">
        <v>1102</v>
      </c>
      <c r="F692" s="166">
        <v>751.44065116284287</v>
      </c>
    </row>
    <row r="693" spans="1:6">
      <c r="A693" s="403">
        <v>1777</v>
      </c>
      <c r="B693" s="403">
        <v>63</v>
      </c>
      <c r="C693" s="166">
        <v>642</v>
      </c>
      <c r="D693" s="166">
        <v>541</v>
      </c>
      <c r="E693" s="166" t="s">
        <v>1102</v>
      </c>
      <c r="F693" s="166">
        <v>751.44065116284287</v>
      </c>
    </row>
    <row r="694" spans="1:6">
      <c r="A694" s="403">
        <v>1778</v>
      </c>
      <c r="B694" s="403">
        <v>63</v>
      </c>
      <c r="C694" s="166">
        <v>642</v>
      </c>
      <c r="D694" s="166">
        <v>541</v>
      </c>
      <c r="E694" s="166" t="s">
        <v>1102</v>
      </c>
      <c r="F694" s="166">
        <v>751.44065116284287</v>
      </c>
    </row>
    <row r="695" spans="1:6">
      <c r="A695" s="403">
        <v>1779</v>
      </c>
      <c r="B695" s="403">
        <v>63</v>
      </c>
      <c r="C695" s="166">
        <v>642</v>
      </c>
      <c r="D695" s="166">
        <v>541</v>
      </c>
      <c r="E695" s="166" t="s">
        <v>1102</v>
      </c>
      <c r="F695" s="166">
        <v>751.44065116284287</v>
      </c>
    </row>
    <row r="696" spans="1:6">
      <c r="A696" s="403">
        <v>1780</v>
      </c>
      <c r="B696" s="403">
        <v>63</v>
      </c>
      <c r="C696" s="166">
        <v>642</v>
      </c>
      <c r="D696" s="166">
        <v>541</v>
      </c>
      <c r="E696" s="166" t="s">
        <v>1102</v>
      </c>
      <c r="F696" s="166">
        <v>751.44065116284287</v>
      </c>
    </row>
    <row r="697" spans="1:6">
      <c r="A697" s="403">
        <v>1781</v>
      </c>
      <c r="B697" s="403">
        <v>63</v>
      </c>
      <c r="C697" s="166">
        <v>642</v>
      </c>
      <c r="D697" s="166">
        <v>541</v>
      </c>
      <c r="E697" s="166" t="s">
        <v>1102</v>
      </c>
      <c r="F697" s="166">
        <v>751.44065116284287</v>
      </c>
    </row>
    <row r="698" spans="1:6">
      <c r="A698" s="403">
        <v>1783</v>
      </c>
      <c r="B698" s="403">
        <v>63</v>
      </c>
      <c r="C698" s="166">
        <v>642</v>
      </c>
      <c r="D698" s="166">
        <v>541</v>
      </c>
      <c r="E698" s="166" t="s">
        <v>1102</v>
      </c>
      <c r="F698" s="166">
        <v>751.44065116284287</v>
      </c>
    </row>
    <row r="699" spans="1:6">
      <c r="A699" s="403">
        <v>1784</v>
      </c>
      <c r="B699" s="403">
        <v>63</v>
      </c>
      <c r="C699" s="166">
        <v>642</v>
      </c>
      <c r="D699" s="166">
        <v>541</v>
      </c>
      <c r="E699" s="166" t="s">
        <v>1102</v>
      </c>
      <c r="F699" s="166">
        <v>751.44065116284287</v>
      </c>
    </row>
    <row r="700" spans="1:6">
      <c r="A700" s="403">
        <v>1785</v>
      </c>
      <c r="B700" s="403">
        <v>63</v>
      </c>
      <c r="C700" s="166">
        <v>642</v>
      </c>
      <c r="D700" s="166">
        <v>541</v>
      </c>
      <c r="E700" s="166" t="s">
        <v>1102</v>
      </c>
      <c r="F700" s="166">
        <v>751.44065116284287</v>
      </c>
    </row>
    <row r="701" spans="1:6">
      <c r="A701" s="403">
        <v>1786</v>
      </c>
      <c r="B701" s="403">
        <v>63</v>
      </c>
      <c r="C701" s="166">
        <v>642</v>
      </c>
      <c r="D701" s="166">
        <v>541</v>
      </c>
      <c r="E701" s="166" t="s">
        <v>1102</v>
      </c>
      <c r="F701" s="166">
        <v>751.44065116284287</v>
      </c>
    </row>
    <row r="702" spans="1:6">
      <c r="A702" s="403">
        <v>1787</v>
      </c>
      <c r="B702" s="403">
        <v>63</v>
      </c>
      <c r="C702" s="166">
        <v>642</v>
      </c>
      <c r="D702" s="166">
        <v>541</v>
      </c>
      <c r="E702" s="166" t="s">
        <v>1102</v>
      </c>
      <c r="F702" s="166">
        <v>751.44065116284287</v>
      </c>
    </row>
    <row r="703" spans="1:6">
      <c r="A703" s="403">
        <v>1788</v>
      </c>
      <c r="B703" s="403">
        <v>63</v>
      </c>
      <c r="C703" s="166">
        <v>642</v>
      </c>
      <c r="D703" s="166">
        <v>541</v>
      </c>
      <c r="E703" s="166" t="s">
        <v>1102</v>
      </c>
      <c r="F703" s="166">
        <v>751.44065116284287</v>
      </c>
    </row>
    <row r="704" spans="1:6">
      <c r="A704" s="403">
        <v>1789</v>
      </c>
      <c r="B704" s="403">
        <v>63</v>
      </c>
      <c r="C704" s="166">
        <v>642</v>
      </c>
      <c r="D704" s="166">
        <v>541</v>
      </c>
      <c r="E704" s="166" t="s">
        <v>1102</v>
      </c>
      <c r="F704" s="166">
        <v>751.44065116284287</v>
      </c>
    </row>
    <row r="705" spans="1:6">
      <c r="A705" s="403">
        <v>1790</v>
      </c>
      <c r="B705" s="403">
        <v>63</v>
      </c>
      <c r="C705" s="166">
        <v>642</v>
      </c>
      <c r="D705" s="166">
        <v>541</v>
      </c>
      <c r="E705" s="166" t="s">
        <v>1102</v>
      </c>
      <c r="F705" s="166">
        <v>751.44065116284287</v>
      </c>
    </row>
    <row r="706" spans="1:6">
      <c r="A706" s="403">
        <v>1795</v>
      </c>
      <c r="B706" s="403">
        <v>63</v>
      </c>
      <c r="C706" s="166">
        <v>642</v>
      </c>
      <c r="D706" s="166">
        <v>541</v>
      </c>
      <c r="E706" s="166" t="s">
        <v>1102</v>
      </c>
      <c r="F706" s="166">
        <v>751.44065116284287</v>
      </c>
    </row>
    <row r="707" spans="1:6">
      <c r="A707" s="403">
        <v>1796</v>
      </c>
      <c r="B707" s="403">
        <v>63</v>
      </c>
      <c r="C707" s="166">
        <v>642</v>
      </c>
      <c r="D707" s="166">
        <v>541</v>
      </c>
      <c r="E707" s="166" t="s">
        <v>1102</v>
      </c>
      <c r="F707" s="166">
        <v>751.44065116284287</v>
      </c>
    </row>
    <row r="708" spans="1:6">
      <c r="A708" s="403">
        <v>1797</v>
      </c>
      <c r="B708" s="403">
        <v>63</v>
      </c>
      <c r="C708" s="166">
        <v>642</v>
      </c>
      <c r="D708" s="166">
        <v>541</v>
      </c>
      <c r="E708" s="166" t="s">
        <v>1102</v>
      </c>
      <c r="F708" s="166">
        <v>751.44065116284287</v>
      </c>
    </row>
    <row r="709" spans="1:6">
      <c r="A709" s="403">
        <v>1798</v>
      </c>
      <c r="B709" s="403">
        <v>63</v>
      </c>
      <c r="C709" s="166">
        <v>642</v>
      </c>
      <c r="D709" s="166">
        <v>541</v>
      </c>
      <c r="E709" s="166" t="s">
        <v>1102</v>
      </c>
      <c r="F709" s="166">
        <v>751.44065116284287</v>
      </c>
    </row>
    <row r="710" spans="1:6">
      <c r="A710" s="403">
        <v>1800</v>
      </c>
      <c r="B710" s="403">
        <v>63</v>
      </c>
      <c r="C710" s="166">
        <v>642</v>
      </c>
      <c r="D710" s="166">
        <v>541</v>
      </c>
      <c r="E710" s="166" t="s">
        <v>1102</v>
      </c>
      <c r="F710" s="166">
        <v>751.44065116284287</v>
      </c>
    </row>
    <row r="711" spans="1:6">
      <c r="A711" s="403">
        <v>1801</v>
      </c>
      <c r="B711" s="403">
        <v>63</v>
      </c>
      <c r="C711" s="166">
        <v>642</v>
      </c>
      <c r="D711" s="166">
        <v>541</v>
      </c>
      <c r="E711" s="166" t="s">
        <v>1102</v>
      </c>
      <c r="F711" s="166">
        <v>751.44065116284287</v>
      </c>
    </row>
    <row r="712" spans="1:6">
      <c r="A712" s="403">
        <v>1802</v>
      </c>
      <c r="B712" s="403">
        <v>63</v>
      </c>
      <c r="C712" s="166">
        <v>642</v>
      </c>
      <c r="D712" s="166">
        <v>541</v>
      </c>
      <c r="E712" s="166" t="s">
        <v>1102</v>
      </c>
      <c r="F712" s="166">
        <v>751.44065116284287</v>
      </c>
    </row>
    <row r="713" spans="1:6">
      <c r="A713" s="403">
        <v>1803</v>
      </c>
      <c r="B713" s="403">
        <v>63</v>
      </c>
      <c r="C713" s="166">
        <v>642</v>
      </c>
      <c r="D713" s="166">
        <v>541</v>
      </c>
      <c r="E713" s="166" t="s">
        <v>1102</v>
      </c>
      <c r="F713" s="166">
        <v>751.44065116284287</v>
      </c>
    </row>
    <row r="714" spans="1:6">
      <c r="A714" s="403">
        <v>1804</v>
      </c>
      <c r="B714" s="403">
        <v>63</v>
      </c>
      <c r="C714" s="166">
        <v>642</v>
      </c>
      <c r="D714" s="166">
        <v>541</v>
      </c>
      <c r="E714" s="166" t="s">
        <v>1102</v>
      </c>
      <c r="F714" s="166">
        <v>751.44065116284287</v>
      </c>
    </row>
    <row r="715" spans="1:6">
      <c r="A715" s="403">
        <v>1805</v>
      </c>
      <c r="B715" s="403">
        <v>63</v>
      </c>
      <c r="C715" s="166">
        <v>642</v>
      </c>
      <c r="D715" s="166">
        <v>541</v>
      </c>
      <c r="E715" s="166" t="s">
        <v>1102</v>
      </c>
      <c r="F715" s="166">
        <v>751.44065116284287</v>
      </c>
    </row>
    <row r="716" spans="1:6">
      <c r="A716" s="403">
        <v>1806</v>
      </c>
      <c r="B716" s="403">
        <v>63</v>
      </c>
      <c r="C716" s="166">
        <v>642</v>
      </c>
      <c r="D716" s="166">
        <v>541</v>
      </c>
      <c r="E716" s="166" t="s">
        <v>1102</v>
      </c>
      <c r="F716" s="166">
        <v>751.44065116284287</v>
      </c>
    </row>
    <row r="717" spans="1:6">
      <c r="A717" s="403">
        <v>1807</v>
      </c>
      <c r="B717" s="403">
        <v>63</v>
      </c>
      <c r="C717" s="166">
        <v>642</v>
      </c>
      <c r="D717" s="166">
        <v>541</v>
      </c>
      <c r="E717" s="166" t="s">
        <v>1102</v>
      </c>
      <c r="F717" s="166">
        <v>751.44065116284287</v>
      </c>
    </row>
    <row r="718" spans="1:6">
      <c r="A718" s="403">
        <v>1808</v>
      </c>
      <c r="B718" s="403">
        <v>63</v>
      </c>
      <c r="C718" s="166">
        <v>642</v>
      </c>
      <c r="D718" s="166">
        <v>541</v>
      </c>
      <c r="E718" s="166" t="s">
        <v>1102</v>
      </c>
      <c r="F718" s="166">
        <v>751.44065116284287</v>
      </c>
    </row>
    <row r="719" spans="1:6">
      <c r="A719" s="403">
        <v>1809</v>
      </c>
      <c r="B719" s="403">
        <v>63</v>
      </c>
      <c r="C719" s="166">
        <v>642</v>
      </c>
      <c r="D719" s="166">
        <v>541</v>
      </c>
      <c r="E719" s="166" t="s">
        <v>1102</v>
      </c>
      <c r="F719" s="166">
        <v>751.44065116284287</v>
      </c>
    </row>
    <row r="720" spans="1:6">
      <c r="A720" s="403">
        <v>1811</v>
      </c>
      <c r="B720" s="403">
        <v>63</v>
      </c>
      <c r="C720" s="166">
        <v>642</v>
      </c>
      <c r="D720" s="166">
        <v>541</v>
      </c>
      <c r="E720" s="166" t="s">
        <v>1102</v>
      </c>
      <c r="F720" s="166">
        <v>751.44065116284287</v>
      </c>
    </row>
    <row r="721" spans="1:6">
      <c r="A721" s="403">
        <v>1812</v>
      </c>
      <c r="B721" s="403">
        <v>63</v>
      </c>
      <c r="C721" s="166">
        <v>642</v>
      </c>
      <c r="D721" s="166">
        <v>541</v>
      </c>
      <c r="E721" s="166" t="s">
        <v>1102</v>
      </c>
      <c r="F721" s="166">
        <v>751.44065116284287</v>
      </c>
    </row>
    <row r="722" spans="1:6">
      <c r="A722" s="403">
        <v>1813</v>
      </c>
      <c r="B722" s="403">
        <v>63</v>
      </c>
      <c r="C722" s="166">
        <v>642</v>
      </c>
      <c r="D722" s="166">
        <v>541</v>
      </c>
      <c r="E722" s="166" t="s">
        <v>1102</v>
      </c>
      <c r="F722" s="166">
        <v>751.44065116284287</v>
      </c>
    </row>
    <row r="723" spans="1:6">
      <c r="A723" s="403">
        <v>1814</v>
      </c>
      <c r="B723" s="403">
        <v>63</v>
      </c>
      <c r="C723" s="166">
        <v>642</v>
      </c>
      <c r="D723" s="166">
        <v>541</v>
      </c>
      <c r="E723" s="166" t="s">
        <v>1102</v>
      </c>
      <c r="F723" s="166">
        <v>751.44065116284287</v>
      </c>
    </row>
    <row r="724" spans="1:6">
      <c r="A724" s="403">
        <v>1815</v>
      </c>
      <c r="B724" s="403">
        <v>63</v>
      </c>
      <c r="C724" s="166">
        <v>642</v>
      </c>
      <c r="D724" s="166">
        <v>541</v>
      </c>
      <c r="E724" s="166" t="s">
        <v>1102</v>
      </c>
      <c r="F724" s="166">
        <v>751.44065116284287</v>
      </c>
    </row>
    <row r="725" spans="1:6">
      <c r="A725" s="403">
        <v>1816</v>
      </c>
      <c r="B725" s="403">
        <v>63</v>
      </c>
      <c r="C725" s="166">
        <v>642</v>
      </c>
      <c r="D725" s="166">
        <v>541</v>
      </c>
      <c r="E725" s="166" t="s">
        <v>1102</v>
      </c>
      <c r="F725" s="166">
        <v>751.44065116284287</v>
      </c>
    </row>
    <row r="726" spans="1:6">
      <c r="A726" s="403">
        <v>1817</v>
      </c>
      <c r="B726" s="403">
        <v>63</v>
      </c>
      <c r="C726" s="166">
        <v>642</v>
      </c>
      <c r="D726" s="166">
        <v>541</v>
      </c>
      <c r="E726" s="166" t="s">
        <v>1102</v>
      </c>
      <c r="F726" s="166">
        <v>751.44065116284287</v>
      </c>
    </row>
    <row r="727" spans="1:6">
      <c r="A727" s="403">
        <v>1818</v>
      </c>
      <c r="B727" s="403">
        <v>63</v>
      </c>
      <c r="C727" s="166">
        <v>642</v>
      </c>
      <c r="D727" s="166">
        <v>541</v>
      </c>
      <c r="E727" s="166" t="s">
        <v>1102</v>
      </c>
      <c r="F727" s="166">
        <v>751.44065116284287</v>
      </c>
    </row>
    <row r="728" spans="1:6">
      <c r="A728" s="403">
        <v>1819</v>
      </c>
      <c r="B728" s="403">
        <v>63</v>
      </c>
      <c r="C728" s="166">
        <v>642</v>
      </c>
      <c r="D728" s="166">
        <v>541</v>
      </c>
      <c r="E728" s="166" t="s">
        <v>1102</v>
      </c>
      <c r="F728" s="166">
        <v>751.44065116284287</v>
      </c>
    </row>
    <row r="729" spans="1:6">
      <c r="A729" s="403">
        <v>1820</v>
      </c>
      <c r="B729" s="403">
        <v>63</v>
      </c>
      <c r="C729" s="166">
        <v>642</v>
      </c>
      <c r="D729" s="166">
        <v>541</v>
      </c>
      <c r="E729" s="166" t="s">
        <v>1102</v>
      </c>
      <c r="F729" s="166">
        <v>751.44065116284287</v>
      </c>
    </row>
    <row r="730" spans="1:6">
      <c r="A730" s="403">
        <v>1821</v>
      </c>
      <c r="B730" s="403">
        <v>63</v>
      </c>
      <c r="C730" s="166">
        <v>642</v>
      </c>
      <c r="D730" s="166">
        <v>541</v>
      </c>
      <c r="E730" s="166" t="s">
        <v>1102</v>
      </c>
      <c r="F730" s="166">
        <v>751.44065116284287</v>
      </c>
    </row>
    <row r="731" spans="1:6">
      <c r="A731" s="403">
        <v>1822</v>
      </c>
      <c r="B731" s="403">
        <v>63</v>
      </c>
      <c r="C731" s="166">
        <v>642</v>
      </c>
      <c r="D731" s="166">
        <v>541</v>
      </c>
      <c r="E731" s="166" t="s">
        <v>1102</v>
      </c>
      <c r="F731" s="166">
        <v>751.44065116284287</v>
      </c>
    </row>
    <row r="732" spans="1:6">
      <c r="A732" s="403">
        <v>1823</v>
      </c>
      <c r="B732" s="403">
        <v>63</v>
      </c>
      <c r="C732" s="166">
        <v>642</v>
      </c>
      <c r="D732" s="166">
        <v>541</v>
      </c>
      <c r="E732" s="166" t="s">
        <v>1102</v>
      </c>
      <c r="F732" s="166">
        <v>751.44065116284287</v>
      </c>
    </row>
    <row r="733" spans="1:6">
      <c r="A733" s="403">
        <v>1824</v>
      </c>
      <c r="B733" s="403">
        <v>63</v>
      </c>
      <c r="C733" s="166">
        <v>642</v>
      </c>
      <c r="D733" s="166">
        <v>541</v>
      </c>
      <c r="E733" s="166" t="s">
        <v>1102</v>
      </c>
      <c r="F733" s="166">
        <v>751.44065116284287</v>
      </c>
    </row>
    <row r="734" spans="1:6">
      <c r="A734" s="403">
        <v>1825</v>
      </c>
      <c r="B734" s="403">
        <v>63</v>
      </c>
      <c r="C734" s="166">
        <v>642</v>
      </c>
      <c r="D734" s="166">
        <v>541</v>
      </c>
      <c r="E734" s="166" t="s">
        <v>1102</v>
      </c>
      <c r="F734" s="166">
        <v>751.44065116284287</v>
      </c>
    </row>
    <row r="735" spans="1:6">
      <c r="A735" s="403">
        <v>1826</v>
      </c>
      <c r="B735" s="403">
        <v>63</v>
      </c>
      <c r="C735" s="166">
        <v>642</v>
      </c>
      <c r="D735" s="166">
        <v>541</v>
      </c>
      <c r="E735" s="166" t="s">
        <v>1102</v>
      </c>
      <c r="F735" s="166">
        <v>751.44065116284287</v>
      </c>
    </row>
    <row r="736" spans="1:6">
      <c r="A736" s="403">
        <v>1827</v>
      </c>
      <c r="B736" s="403">
        <v>63</v>
      </c>
      <c r="C736" s="166">
        <v>642</v>
      </c>
      <c r="D736" s="166">
        <v>541</v>
      </c>
      <c r="E736" s="166" t="s">
        <v>1102</v>
      </c>
      <c r="F736" s="166">
        <v>751.44065116284287</v>
      </c>
    </row>
    <row r="737" spans="1:6">
      <c r="A737" s="403">
        <v>1828</v>
      </c>
      <c r="B737" s="403">
        <v>63</v>
      </c>
      <c r="C737" s="166">
        <v>642</v>
      </c>
      <c r="D737" s="166">
        <v>541</v>
      </c>
      <c r="E737" s="166" t="s">
        <v>1102</v>
      </c>
      <c r="F737" s="166">
        <v>751.44065116284287</v>
      </c>
    </row>
    <row r="738" spans="1:6">
      <c r="A738" s="403">
        <v>1829</v>
      </c>
      <c r="B738" s="403">
        <v>63</v>
      </c>
      <c r="C738" s="166">
        <v>642</v>
      </c>
      <c r="D738" s="166">
        <v>541</v>
      </c>
      <c r="E738" s="166" t="s">
        <v>1102</v>
      </c>
      <c r="F738" s="166">
        <v>751.44065116284287</v>
      </c>
    </row>
    <row r="739" spans="1:6">
      <c r="A739" s="403">
        <v>1830</v>
      </c>
      <c r="B739" s="403">
        <v>63</v>
      </c>
      <c r="C739" s="166">
        <v>642</v>
      </c>
      <c r="D739" s="166">
        <v>541</v>
      </c>
      <c r="E739" s="166" t="s">
        <v>1102</v>
      </c>
      <c r="F739" s="166">
        <v>751.44065116284287</v>
      </c>
    </row>
    <row r="740" spans="1:6">
      <c r="A740" s="403">
        <v>1831</v>
      </c>
      <c r="B740" s="403">
        <v>63</v>
      </c>
      <c r="C740" s="166">
        <v>642</v>
      </c>
      <c r="D740" s="166">
        <v>541</v>
      </c>
      <c r="E740" s="166" t="s">
        <v>1102</v>
      </c>
      <c r="F740" s="166">
        <v>751.44065116284287</v>
      </c>
    </row>
    <row r="741" spans="1:6">
      <c r="A741" s="403">
        <v>1832</v>
      </c>
      <c r="B741" s="403">
        <v>63</v>
      </c>
      <c r="C741" s="166">
        <v>642</v>
      </c>
      <c r="D741" s="166">
        <v>541</v>
      </c>
      <c r="E741" s="166" t="s">
        <v>1102</v>
      </c>
      <c r="F741" s="166">
        <v>751.44065116284287</v>
      </c>
    </row>
    <row r="742" spans="1:6">
      <c r="A742" s="403">
        <v>1833</v>
      </c>
      <c r="B742" s="403">
        <v>63</v>
      </c>
      <c r="C742" s="166">
        <v>642</v>
      </c>
      <c r="D742" s="166">
        <v>541</v>
      </c>
      <c r="E742" s="166" t="s">
        <v>1102</v>
      </c>
      <c r="F742" s="166">
        <v>751.44065116284287</v>
      </c>
    </row>
    <row r="743" spans="1:6">
      <c r="A743" s="403">
        <v>1834</v>
      </c>
      <c r="B743" s="403">
        <v>63</v>
      </c>
      <c r="C743" s="166">
        <v>642</v>
      </c>
      <c r="D743" s="166">
        <v>541</v>
      </c>
      <c r="E743" s="166" t="s">
        <v>1102</v>
      </c>
      <c r="F743" s="166">
        <v>751.44065116284287</v>
      </c>
    </row>
    <row r="744" spans="1:6">
      <c r="A744" s="403">
        <v>1835</v>
      </c>
      <c r="B744" s="403">
        <v>63</v>
      </c>
      <c r="C744" s="166">
        <v>642</v>
      </c>
      <c r="D744" s="166">
        <v>541</v>
      </c>
      <c r="E744" s="166" t="s">
        <v>1102</v>
      </c>
      <c r="F744" s="166">
        <v>751.44065116284287</v>
      </c>
    </row>
    <row r="745" spans="1:6">
      <c r="A745" s="403">
        <v>1836</v>
      </c>
      <c r="B745" s="403">
        <v>63</v>
      </c>
      <c r="C745" s="166">
        <v>642</v>
      </c>
      <c r="D745" s="166">
        <v>541</v>
      </c>
      <c r="E745" s="166" t="s">
        <v>1102</v>
      </c>
      <c r="F745" s="166">
        <v>751.44065116284287</v>
      </c>
    </row>
    <row r="746" spans="1:6">
      <c r="A746" s="403">
        <v>1837</v>
      </c>
      <c r="B746" s="403">
        <v>63</v>
      </c>
      <c r="C746" s="166">
        <v>642</v>
      </c>
      <c r="D746" s="166">
        <v>541</v>
      </c>
      <c r="E746" s="166" t="s">
        <v>1102</v>
      </c>
      <c r="F746" s="166">
        <v>751.44065116284287</v>
      </c>
    </row>
    <row r="747" spans="1:6">
      <c r="A747" s="403">
        <v>1838</v>
      </c>
      <c r="B747" s="403">
        <v>63</v>
      </c>
      <c r="C747" s="166">
        <v>642</v>
      </c>
      <c r="D747" s="166">
        <v>541</v>
      </c>
      <c r="E747" s="166" t="s">
        <v>1102</v>
      </c>
      <c r="F747" s="166">
        <v>751.44065116284287</v>
      </c>
    </row>
    <row r="748" spans="1:6">
      <c r="A748" s="403">
        <v>1839</v>
      </c>
      <c r="B748" s="403">
        <v>63</v>
      </c>
      <c r="C748" s="166">
        <v>642</v>
      </c>
      <c r="D748" s="166">
        <v>541</v>
      </c>
      <c r="E748" s="166" t="s">
        <v>1102</v>
      </c>
      <c r="F748" s="166">
        <v>751.44065116284287</v>
      </c>
    </row>
    <row r="749" spans="1:6">
      <c r="A749" s="403">
        <v>1842</v>
      </c>
      <c r="B749" s="403">
        <v>63</v>
      </c>
      <c r="C749" s="166">
        <v>642</v>
      </c>
      <c r="D749" s="166">
        <v>541</v>
      </c>
      <c r="E749" s="166" t="s">
        <v>1102</v>
      </c>
      <c r="F749" s="166">
        <v>751.44065116284287</v>
      </c>
    </row>
    <row r="750" spans="1:6">
      <c r="A750" s="403">
        <v>1843</v>
      </c>
      <c r="B750" s="403">
        <v>63</v>
      </c>
      <c r="C750" s="166">
        <v>642</v>
      </c>
      <c r="D750" s="166">
        <v>541</v>
      </c>
      <c r="E750" s="166" t="s">
        <v>1102</v>
      </c>
      <c r="F750" s="166">
        <v>751.44065116284287</v>
      </c>
    </row>
    <row r="751" spans="1:6">
      <c r="A751" s="403">
        <v>1844</v>
      </c>
      <c r="B751" s="403">
        <v>63</v>
      </c>
      <c r="C751" s="166">
        <v>642</v>
      </c>
      <c r="D751" s="166">
        <v>541</v>
      </c>
      <c r="E751" s="166" t="s">
        <v>1102</v>
      </c>
      <c r="F751" s="166">
        <v>751.44065116284287</v>
      </c>
    </row>
    <row r="752" spans="1:6">
      <c r="A752" s="403">
        <v>1845</v>
      </c>
      <c r="B752" s="403">
        <v>63</v>
      </c>
      <c r="C752" s="166">
        <v>642</v>
      </c>
      <c r="D752" s="166">
        <v>541</v>
      </c>
      <c r="E752" s="166" t="s">
        <v>1102</v>
      </c>
      <c r="F752" s="166">
        <v>751.44065116284287</v>
      </c>
    </row>
    <row r="753" spans="1:6">
      <c r="A753" s="403">
        <v>1846</v>
      </c>
      <c r="B753" s="403">
        <v>63</v>
      </c>
      <c r="C753" s="166">
        <v>642</v>
      </c>
      <c r="D753" s="166">
        <v>541</v>
      </c>
      <c r="E753" s="166" t="s">
        <v>1102</v>
      </c>
      <c r="F753" s="166">
        <v>751.44065116284287</v>
      </c>
    </row>
    <row r="754" spans="1:6">
      <c r="A754" s="403">
        <v>1847</v>
      </c>
      <c r="B754" s="403">
        <v>63</v>
      </c>
      <c r="C754" s="166">
        <v>642</v>
      </c>
      <c r="D754" s="166">
        <v>541</v>
      </c>
      <c r="E754" s="166" t="s">
        <v>1102</v>
      </c>
      <c r="F754" s="166">
        <v>751.44065116284287</v>
      </c>
    </row>
    <row r="755" spans="1:6">
      <c r="A755" s="403">
        <v>1848</v>
      </c>
      <c r="B755" s="403">
        <v>63</v>
      </c>
      <c r="C755" s="166">
        <v>642</v>
      </c>
      <c r="D755" s="166">
        <v>541</v>
      </c>
      <c r="E755" s="166" t="s">
        <v>1102</v>
      </c>
      <c r="F755" s="166">
        <v>751.44065116284287</v>
      </c>
    </row>
    <row r="756" spans="1:6">
      <c r="A756" s="403">
        <v>1849</v>
      </c>
      <c r="B756" s="403">
        <v>63</v>
      </c>
      <c r="C756" s="166">
        <v>642</v>
      </c>
      <c r="D756" s="166">
        <v>541</v>
      </c>
      <c r="E756" s="166" t="s">
        <v>1102</v>
      </c>
      <c r="F756" s="166">
        <v>751.44065116284287</v>
      </c>
    </row>
    <row r="757" spans="1:6">
      <c r="A757" s="403">
        <v>1850</v>
      </c>
      <c r="B757" s="403">
        <v>63</v>
      </c>
      <c r="C757" s="166">
        <v>642</v>
      </c>
      <c r="D757" s="166">
        <v>541</v>
      </c>
      <c r="E757" s="166" t="s">
        <v>1102</v>
      </c>
      <c r="F757" s="166">
        <v>751.44065116284287</v>
      </c>
    </row>
    <row r="758" spans="1:6">
      <c r="A758" s="403">
        <v>1851</v>
      </c>
      <c r="B758" s="403">
        <v>63</v>
      </c>
      <c r="C758" s="166">
        <v>642</v>
      </c>
      <c r="D758" s="166">
        <v>541</v>
      </c>
      <c r="E758" s="166" t="s">
        <v>1102</v>
      </c>
      <c r="F758" s="166">
        <v>751.44065116284287</v>
      </c>
    </row>
    <row r="759" spans="1:6">
      <c r="A759" s="403">
        <v>1852</v>
      </c>
      <c r="B759" s="403">
        <v>63</v>
      </c>
      <c r="C759" s="166">
        <v>642</v>
      </c>
      <c r="D759" s="166">
        <v>541</v>
      </c>
      <c r="E759" s="166" t="s">
        <v>1102</v>
      </c>
      <c r="F759" s="166">
        <v>751.44065116284287</v>
      </c>
    </row>
    <row r="760" spans="1:6">
      <c r="A760" s="403">
        <v>1853</v>
      </c>
      <c r="B760" s="403">
        <v>63</v>
      </c>
      <c r="C760" s="166">
        <v>642</v>
      </c>
      <c r="D760" s="166">
        <v>541</v>
      </c>
      <c r="E760" s="166" t="s">
        <v>1102</v>
      </c>
      <c r="F760" s="166">
        <v>751.44065116284287</v>
      </c>
    </row>
    <row r="761" spans="1:6">
      <c r="A761" s="403">
        <v>1854</v>
      </c>
      <c r="B761" s="403">
        <v>63</v>
      </c>
      <c r="C761" s="166">
        <v>642</v>
      </c>
      <c r="D761" s="166">
        <v>541</v>
      </c>
      <c r="E761" s="166" t="s">
        <v>1102</v>
      </c>
      <c r="F761" s="166">
        <v>751.44065116284287</v>
      </c>
    </row>
    <row r="762" spans="1:6">
      <c r="A762" s="403">
        <v>1855</v>
      </c>
      <c r="B762" s="403">
        <v>63</v>
      </c>
      <c r="C762" s="166">
        <v>642</v>
      </c>
      <c r="D762" s="166">
        <v>541</v>
      </c>
      <c r="E762" s="166" t="s">
        <v>1102</v>
      </c>
      <c r="F762" s="166">
        <v>751.44065116284287</v>
      </c>
    </row>
    <row r="763" spans="1:6">
      <c r="A763" s="403">
        <v>1856</v>
      </c>
      <c r="B763" s="403">
        <v>63</v>
      </c>
      <c r="C763" s="166">
        <v>642</v>
      </c>
      <c r="D763" s="166">
        <v>541</v>
      </c>
      <c r="E763" s="166" t="s">
        <v>1102</v>
      </c>
      <c r="F763" s="166">
        <v>751.44065116284287</v>
      </c>
    </row>
    <row r="764" spans="1:6">
      <c r="A764" s="403">
        <v>1857</v>
      </c>
      <c r="B764" s="403">
        <v>63</v>
      </c>
      <c r="C764" s="166">
        <v>642</v>
      </c>
      <c r="D764" s="166">
        <v>541</v>
      </c>
      <c r="E764" s="166" t="s">
        <v>1102</v>
      </c>
      <c r="F764" s="166">
        <v>751.44065116284287</v>
      </c>
    </row>
    <row r="765" spans="1:6">
      <c r="A765" s="403">
        <v>1858</v>
      </c>
      <c r="B765" s="403">
        <v>63</v>
      </c>
      <c r="C765" s="166">
        <v>642</v>
      </c>
      <c r="D765" s="166">
        <v>541</v>
      </c>
      <c r="E765" s="166" t="s">
        <v>1102</v>
      </c>
      <c r="F765" s="166">
        <v>751.44065116284287</v>
      </c>
    </row>
    <row r="766" spans="1:6">
      <c r="A766" s="403">
        <v>1859</v>
      </c>
      <c r="B766" s="403">
        <v>63</v>
      </c>
      <c r="C766" s="166">
        <v>642</v>
      </c>
      <c r="D766" s="166">
        <v>541</v>
      </c>
      <c r="E766" s="166" t="s">
        <v>1102</v>
      </c>
      <c r="F766" s="166">
        <v>751.44065116284287</v>
      </c>
    </row>
    <row r="767" spans="1:6">
      <c r="A767" s="403">
        <v>1860</v>
      </c>
      <c r="B767" s="403">
        <v>63</v>
      </c>
      <c r="C767" s="166">
        <v>642</v>
      </c>
      <c r="D767" s="166">
        <v>541</v>
      </c>
      <c r="E767" s="166" t="s">
        <v>1102</v>
      </c>
      <c r="F767" s="166">
        <v>751.44065116284287</v>
      </c>
    </row>
    <row r="768" spans="1:6">
      <c r="A768" s="403">
        <v>1861</v>
      </c>
      <c r="B768" s="403">
        <v>63</v>
      </c>
      <c r="C768" s="166">
        <v>642</v>
      </c>
      <c r="D768" s="166">
        <v>541</v>
      </c>
      <c r="E768" s="166" t="s">
        <v>1102</v>
      </c>
      <c r="F768" s="166">
        <v>751.44065116284287</v>
      </c>
    </row>
    <row r="769" spans="1:6">
      <c r="A769" s="403">
        <v>1862</v>
      </c>
      <c r="B769" s="403">
        <v>63</v>
      </c>
      <c r="C769" s="166">
        <v>642</v>
      </c>
      <c r="D769" s="166">
        <v>541</v>
      </c>
      <c r="E769" s="166" t="s">
        <v>1102</v>
      </c>
      <c r="F769" s="166">
        <v>751.44065116284287</v>
      </c>
    </row>
    <row r="770" spans="1:6">
      <c r="A770" s="403">
        <v>1863</v>
      </c>
      <c r="B770" s="403">
        <v>63</v>
      </c>
      <c r="C770" s="166">
        <v>642</v>
      </c>
      <c r="D770" s="166">
        <v>541</v>
      </c>
      <c r="E770" s="166" t="s">
        <v>1102</v>
      </c>
      <c r="F770" s="166">
        <v>751.44065116284287</v>
      </c>
    </row>
    <row r="771" spans="1:6">
      <c r="A771" s="403">
        <v>1864</v>
      </c>
      <c r="B771" s="403">
        <v>63</v>
      </c>
      <c r="C771" s="166">
        <v>642</v>
      </c>
      <c r="D771" s="166">
        <v>541</v>
      </c>
      <c r="E771" s="166" t="s">
        <v>1102</v>
      </c>
      <c r="F771" s="166">
        <v>751.44065116284287</v>
      </c>
    </row>
    <row r="772" spans="1:6">
      <c r="A772" s="403">
        <v>1867</v>
      </c>
      <c r="B772" s="403">
        <v>63</v>
      </c>
      <c r="C772" s="166">
        <v>642</v>
      </c>
      <c r="D772" s="166">
        <v>541</v>
      </c>
      <c r="E772" s="166" t="s">
        <v>1102</v>
      </c>
      <c r="F772" s="166">
        <v>751.44065116284287</v>
      </c>
    </row>
    <row r="773" spans="1:6">
      <c r="A773" s="403">
        <v>1868</v>
      </c>
      <c r="B773" s="403">
        <v>63</v>
      </c>
      <c r="C773" s="166">
        <v>642</v>
      </c>
      <c r="D773" s="166">
        <v>541</v>
      </c>
      <c r="E773" s="166" t="s">
        <v>1102</v>
      </c>
      <c r="F773" s="166">
        <v>751.44065116284287</v>
      </c>
    </row>
    <row r="774" spans="1:6">
      <c r="A774" s="403">
        <v>1869</v>
      </c>
      <c r="B774" s="403">
        <v>63</v>
      </c>
      <c r="C774" s="166">
        <v>642</v>
      </c>
      <c r="D774" s="166">
        <v>541</v>
      </c>
      <c r="E774" s="166" t="s">
        <v>1102</v>
      </c>
      <c r="F774" s="166">
        <v>751.44065116284287</v>
      </c>
    </row>
    <row r="775" spans="1:6">
      <c r="A775" s="403">
        <v>1870</v>
      </c>
      <c r="B775" s="403">
        <v>63</v>
      </c>
      <c r="C775" s="166">
        <v>642</v>
      </c>
      <c r="D775" s="166">
        <v>541</v>
      </c>
      <c r="E775" s="166" t="s">
        <v>1102</v>
      </c>
      <c r="F775" s="166">
        <v>751.44065116284287</v>
      </c>
    </row>
    <row r="776" spans="1:6">
      <c r="A776" s="403">
        <v>1871</v>
      </c>
      <c r="B776" s="403">
        <v>63</v>
      </c>
      <c r="C776" s="166">
        <v>642</v>
      </c>
      <c r="D776" s="166">
        <v>541</v>
      </c>
      <c r="E776" s="166" t="s">
        <v>1102</v>
      </c>
      <c r="F776" s="166">
        <v>751.44065116284287</v>
      </c>
    </row>
    <row r="777" spans="1:6">
      <c r="A777" s="403">
        <v>1872</v>
      </c>
      <c r="B777" s="403">
        <v>63</v>
      </c>
      <c r="C777" s="166">
        <v>642</v>
      </c>
      <c r="D777" s="166">
        <v>541</v>
      </c>
      <c r="E777" s="166" t="s">
        <v>1102</v>
      </c>
      <c r="F777" s="166">
        <v>751.44065116284287</v>
      </c>
    </row>
    <row r="778" spans="1:6">
      <c r="A778" s="403">
        <v>1873</v>
      </c>
      <c r="B778" s="403">
        <v>63</v>
      </c>
      <c r="C778" s="166">
        <v>642</v>
      </c>
      <c r="D778" s="166">
        <v>541</v>
      </c>
      <c r="E778" s="166" t="s">
        <v>1102</v>
      </c>
      <c r="F778" s="166">
        <v>751.44065116284287</v>
      </c>
    </row>
    <row r="779" spans="1:6">
      <c r="A779" s="403">
        <v>1874</v>
      </c>
      <c r="B779" s="403">
        <v>63</v>
      </c>
      <c r="C779" s="166">
        <v>642</v>
      </c>
      <c r="D779" s="166">
        <v>541</v>
      </c>
      <c r="E779" s="166" t="s">
        <v>1102</v>
      </c>
      <c r="F779" s="166">
        <v>751.44065116284287</v>
      </c>
    </row>
    <row r="780" spans="1:6">
      <c r="A780" s="403">
        <v>1875</v>
      </c>
      <c r="B780" s="403">
        <v>63</v>
      </c>
      <c r="C780" s="166">
        <v>642</v>
      </c>
      <c r="D780" s="166">
        <v>541</v>
      </c>
      <c r="E780" s="166" t="s">
        <v>1102</v>
      </c>
      <c r="F780" s="166">
        <v>751.44065116284287</v>
      </c>
    </row>
    <row r="781" spans="1:6">
      <c r="A781" s="403">
        <v>1876</v>
      </c>
      <c r="B781" s="403">
        <v>63</v>
      </c>
      <c r="C781" s="166">
        <v>642</v>
      </c>
      <c r="D781" s="166">
        <v>541</v>
      </c>
      <c r="E781" s="166" t="s">
        <v>1102</v>
      </c>
      <c r="F781" s="166">
        <v>751.44065116284287</v>
      </c>
    </row>
    <row r="782" spans="1:6">
      <c r="A782" s="403">
        <v>1877</v>
      </c>
      <c r="B782" s="403">
        <v>63</v>
      </c>
      <c r="C782" s="166">
        <v>642</v>
      </c>
      <c r="D782" s="166">
        <v>541</v>
      </c>
      <c r="E782" s="166" t="s">
        <v>1102</v>
      </c>
      <c r="F782" s="166">
        <v>751.44065116284287</v>
      </c>
    </row>
    <row r="783" spans="1:6">
      <c r="A783" s="403">
        <v>1878</v>
      </c>
      <c r="B783" s="403">
        <v>63</v>
      </c>
      <c r="C783" s="166">
        <v>642</v>
      </c>
      <c r="D783" s="166">
        <v>541</v>
      </c>
      <c r="E783" s="166" t="s">
        <v>1102</v>
      </c>
      <c r="F783" s="166">
        <v>751.44065116284287</v>
      </c>
    </row>
    <row r="784" spans="1:6">
      <c r="A784" s="403">
        <v>1879</v>
      </c>
      <c r="B784" s="403">
        <v>63</v>
      </c>
      <c r="C784" s="166">
        <v>642</v>
      </c>
      <c r="D784" s="166">
        <v>541</v>
      </c>
      <c r="E784" s="166" t="s">
        <v>1102</v>
      </c>
      <c r="F784" s="166">
        <v>751.44065116284287</v>
      </c>
    </row>
    <row r="785" spans="1:6">
      <c r="A785" s="403">
        <v>1880</v>
      </c>
      <c r="B785" s="403">
        <v>63</v>
      </c>
      <c r="C785" s="166">
        <v>642</v>
      </c>
      <c r="D785" s="166">
        <v>541</v>
      </c>
      <c r="E785" s="166" t="s">
        <v>1102</v>
      </c>
      <c r="F785" s="166">
        <v>751.44065116284287</v>
      </c>
    </row>
    <row r="786" spans="1:6">
      <c r="A786" s="403">
        <v>1881</v>
      </c>
      <c r="B786" s="403">
        <v>63</v>
      </c>
      <c r="C786" s="166">
        <v>642</v>
      </c>
      <c r="D786" s="166">
        <v>541</v>
      </c>
      <c r="E786" s="166" t="s">
        <v>1102</v>
      </c>
      <c r="F786" s="166">
        <v>751.44065116284287</v>
      </c>
    </row>
    <row r="787" spans="1:6">
      <c r="A787" s="403">
        <v>1882</v>
      </c>
      <c r="B787" s="403">
        <v>63</v>
      </c>
      <c r="C787" s="166">
        <v>642</v>
      </c>
      <c r="D787" s="166">
        <v>541</v>
      </c>
      <c r="E787" s="166" t="s">
        <v>1102</v>
      </c>
      <c r="F787" s="166">
        <v>751.44065116284287</v>
      </c>
    </row>
    <row r="788" spans="1:6">
      <c r="A788" s="403">
        <v>1883</v>
      </c>
      <c r="B788" s="403">
        <v>63</v>
      </c>
      <c r="C788" s="166">
        <v>642</v>
      </c>
      <c r="D788" s="166">
        <v>541</v>
      </c>
      <c r="E788" s="166" t="s">
        <v>1102</v>
      </c>
      <c r="F788" s="166">
        <v>751.44065116284287</v>
      </c>
    </row>
    <row r="789" spans="1:6">
      <c r="A789" s="403">
        <v>1884</v>
      </c>
      <c r="B789" s="403">
        <v>63</v>
      </c>
      <c r="C789" s="166">
        <v>642</v>
      </c>
      <c r="D789" s="166">
        <v>541</v>
      </c>
      <c r="E789" s="166" t="s">
        <v>1102</v>
      </c>
      <c r="F789" s="166">
        <v>751.44065116284287</v>
      </c>
    </row>
    <row r="790" spans="1:6">
      <c r="A790" s="403">
        <v>1885</v>
      </c>
      <c r="B790" s="403">
        <v>63</v>
      </c>
      <c r="C790" s="166">
        <v>642</v>
      </c>
      <c r="D790" s="166">
        <v>541</v>
      </c>
      <c r="E790" s="166" t="s">
        <v>1102</v>
      </c>
      <c r="F790" s="166">
        <v>751.44065116284287</v>
      </c>
    </row>
    <row r="791" spans="1:6">
      <c r="A791" s="403">
        <v>1886</v>
      </c>
      <c r="B791" s="403">
        <v>63</v>
      </c>
      <c r="C791" s="166">
        <v>642</v>
      </c>
      <c r="D791" s="166">
        <v>541</v>
      </c>
      <c r="E791" s="166" t="s">
        <v>1102</v>
      </c>
      <c r="F791" s="166">
        <v>751.44065116284287</v>
      </c>
    </row>
    <row r="792" spans="1:6">
      <c r="A792" s="403">
        <v>1887</v>
      </c>
      <c r="B792" s="403">
        <v>63</v>
      </c>
      <c r="C792" s="166">
        <v>642</v>
      </c>
      <c r="D792" s="166">
        <v>541</v>
      </c>
      <c r="E792" s="166" t="s">
        <v>1102</v>
      </c>
      <c r="F792" s="166">
        <v>751.44065116284287</v>
      </c>
    </row>
    <row r="793" spans="1:6">
      <c r="A793" s="403">
        <v>1888</v>
      </c>
      <c r="B793" s="403">
        <v>63</v>
      </c>
      <c r="C793" s="166">
        <v>642</v>
      </c>
      <c r="D793" s="166">
        <v>541</v>
      </c>
      <c r="E793" s="166" t="s">
        <v>1102</v>
      </c>
      <c r="F793" s="166">
        <v>751.44065116284287</v>
      </c>
    </row>
    <row r="794" spans="1:6">
      <c r="A794" s="403">
        <v>1890</v>
      </c>
      <c r="B794" s="403">
        <v>63</v>
      </c>
      <c r="C794" s="166">
        <v>642</v>
      </c>
      <c r="D794" s="166">
        <v>541</v>
      </c>
      <c r="E794" s="166" t="s">
        <v>1102</v>
      </c>
      <c r="F794" s="166">
        <v>751.44065116284287</v>
      </c>
    </row>
    <row r="795" spans="1:6">
      <c r="A795" s="403">
        <v>1891</v>
      </c>
      <c r="B795" s="403">
        <v>63</v>
      </c>
      <c r="C795" s="166">
        <v>642</v>
      </c>
      <c r="D795" s="166">
        <v>541</v>
      </c>
      <c r="E795" s="166" t="s">
        <v>1102</v>
      </c>
      <c r="F795" s="166">
        <v>751.44065116284287</v>
      </c>
    </row>
    <row r="796" spans="1:6">
      <c r="A796" s="403">
        <v>1894</v>
      </c>
      <c r="B796" s="403">
        <v>63</v>
      </c>
      <c r="C796" s="166">
        <v>642</v>
      </c>
      <c r="D796" s="166">
        <v>541</v>
      </c>
      <c r="E796" s="166" t="s">
        <v>1102</v>
      </c>
      <c r="F796" s="166">
        <v>751.44065116284287</v>
      </c>
    </row>
    <row r="797" spans="1:6">
      <c r="A797" s="403">
        <v>1895</v>
      </c>
      <c r="B797" s="403">
        <v>63</v>
      </c>
      <c r="C797" s="166">
        <v>642</v>
      </c>
      <c r="D797" s="166">
        <v>541</v>
      </c>
      <c r="E797" s="166" t="s">
        <v>1102</v>
      </c>
      <c r="F797" s="166">
        <v>751.44065116284287</v>
      </c>
    </row>
    <row r="798" spans="1:6">
      <c r="A798" s="403">
        <v>1896</v>
      </c>
      <c r="B798" s="403">
        <v>63</v>
      </c>
      <c r="C798" s="166">
        <v>642</v>
      </c>
      <c r="D798" s="166">
        <v>541</v>
      </c>
      <c r="E798" s="166" t="s">
        <v>1102</v>
      </c>
      <c r="F798" s="166">
        <v>751.44065116284287</v>
      </c>
    </row>
    <row r="799" spans="1:6">
      <c r="A799" s="403">
        <v>1897</v>
      </c>
      <c r="B799" s="403">
        <v>63</v>
      </c>
      <c r="C799" s="166">
        <v>642</v>
      </c>
      <c r="D799" s="166">
        <v>541</v>
      </c>
      <c r="E799" s="166" t="s">
        <v>1102</v>
      </c>
      <c r="F799" s="166">
        <v>751.44065116284287</v>
      </c>
    </row>
    <row r="800" spans="1:6">
      <c r="A800" s="403">
        <v>1898</v>
      </c>
      <c r="B800" s="403">
        <v>63</v>
      </c>
      <c r="C800" s="166">
        <v>642</v>
      </c>
      <c r="D800" s="166">
        <v>541</v>
      </c>
      <c r="E800" s="166" t="s">
        <v>1102</v>
      </c>
      <c r="F800" s="166">
        <v>751.44065116284287</v>
      </c>
    </row>
    <row r="801" spans="1:6">
      <c r="A801" s="403">
        <v>1900</v>
      </c>
      <c r="B801" s="403">
        <v>63</v>
      </c>
      <c r="C801" s="166">
        <v>642</v>
      </c>
      <c r="D801" s="166">
        <v>541</v>
      </c>
      <c r="E801" s="166" t="s">
        <v>1102</v>
      </c>
      <c r="F801" s="166">
        <v>751.44065116284287</v>
      </c>
    </row>
    <row r="802" spans="1:6">
      <c r="A802" s="403">
        <v>1902</v>
      </c>
      <c r="B802" s="403">
        <v>63</v>
      </c>
      <c r="C802" s="166">
        <v>642</v>
      </c>
      <c r="D802" s="166">
        <v>541</v>
      </c>
      <c r="E802" s="166" t="s">
        <v>1102</v>
      </c>
      <c r="F802" s="166">
        <v>751.44065116284287</v>
      </c>
    </row>
    <row r="803" spans="1:6">
      <c r="A803" s="403">
        <v>1903</v>
      </c>
      <c r="B803" s="403">
        <v>63</v>
      </c>
      <c r="C803" s="166">
        <v>642</v>
      </c>
      <c r="D803" s="166">
        <v>541</v>
      </c>
      <c r="E803" s="166" t="s">
        <v>1102</v>
      </c>
      <c r="F803" s="166">
        <v>751.44065116284287</v>
      </c>
    </row>
    <row r="804" spans="1:6">
      <c r="A804" s="403">
        <v>1920</v>
      </c>
      <c r="B804" s="403">
        <v>63</v>
      </c>
      <c r="C804" s="166">
        <v>642</v>
      </c>
      <c r="D804" s="166">
        <v>541</v>
      </c>
      <c r="E804" s="166" t="s">
        <v>1102</v>
      </c>
      <c r="F804" s="166">
        <v>751.44065116284287</v>
      </c>
    </row>
    <row r="805" spans="1:6">
      <c r="A805" s="403">
        <v>2000</v>
      </c>
      <c r="B805" s="403">
        <v>63</v>
      </c>
      <c r="C805" s="166">
        <v>642</v>
      </c>
      <c r="D805" s="166">
        <v>541</v>
      </c>
      <c r="E805" s="166" t="s">
        <v>1102</v>
      </c>
      <c r="F805" s="166">
        <v>751.44065116284287</v>
      </c>
    </row>
    <row r="806" spans="1:6">
      <c r="A806" s="403">
        <v>2001</v>
      </c>
      <c r="B806" s="403">
        <v>63</v>
      </c>
      <c r="C806" s="166">
        <v>642</v>
      </c>
      <c r="D806" s="166">
        <v>541</v>
      </c>
      <c r="E806" s="166" t="s">
        <v>1102</v>
      </c>
      <c r="F806" s="166">
        <v>751.44065116284287</v>
      </c>
    </row>
    <row r="807" spans="1:6">
      <c r="A807" s="403">
        <v>2004</v>
      </c>
      <c r="B807" s="403">
        <v>63</v>
      </c>
      <c r="C807" s="166">
        <v>642</v>
      </c>
      <c r="D807" s="166">
        <v>541</v>
      </c>
      <c r="E807" s="166" t="s">
        <v>1102</v>
      </c>
      <c r="F807" s="166">
        <v>751.44065116284287</v>
      </c>
    </row>
    <row r="808" spans="1:6">
      <c r="A808" s="403">
        <v>2005</v>
      </c>
      <c r="B808" s="403">
        <v>63</v>
      </c>
      <c r="C808" s="166">
        <v>642</v>
      </c>
      <c r="D808" s="166">
        <v>541</v>
      </c>
      <c r="E808" s="166" t="s">
        <v>1102</v>
      </c>
      <c r="F808" s="166">
        <v>751.44065116284287</v>
      </c>
    </row>
    <row r="809" spans="1:6">
      <c r="A809" s="403">
        <v>2006</v>
      </c>
      <c r="B809" s="403">
        <v>63</v>
      </c>
      <c r="C809" s="166">
        <v>642</v>
      </c>
      <c r="D809" s="166">
        <v>541</v>
      </c>
      <c r="E809" s="166" t="s">
        <v>1102</v>
      </c>
      <c r="F809" s="166">
        <v>751.44065116284287</v>
      </c>
    </row>
    <row r="810" spans="1:6">
      <c r="A810" s="403">
        <v>2007</v>
      </c>
      <c r="B810" s="403">
        <v>63</v>
      </c>
      <c r="C810" s="166">
        <v>642</v>
      </c>
      <c r="D810" s="166">
        <v>541</v>
      </c>
      <c r="E810" s="166" t="s">
        <v>1102</v>
      </c>
      <c r="F810" s="166">
        <v>751.44065116284287</v>
      </c>
    </row>
    <row r="811" spans="1:6">
      <c r="A811" s="403">
        <v>2008</v>
      </c>
      <c r="B811" s="403">
        <v>63</v>
      </c>
      <c r="C811" s="166">
        <v>642</v>
      </c>
      <c r="D811" s="166">
        <v>541</v>
      </c>
      <c r="E811" s="166" t="s">
        <v>1102</v>
      </c>
      <c r="F811" s="166">
        <v>751.44065116284287</v>
      </c>
    </row>
    <row r="812" spans="1:6">
      <c r="A812" s="403">
        <v>2009</v>
      </c>
      <c r="B812" s="403">
        <v>63</v>
      </c>
      <c r="C812" s="166">
        <v>642</v>
      </c>
      <c r="D812" s="166">
        <v>541</v>
      </c>
      <c r="E812" s="166" t="s">
        <v>1102</v>
      </c>
      <c r="F812" s="166">
        <v>751.44065116284287</v>
      </c>
    </row>
    <row r="813" spans="1:6">
      <c r="A813" s="403">
        <v>2010</v>
      </c>
      <c r="B813" s="403">
        <v>63</v>
      </c>
      <c r="C813" s="166">
        <v>642</v>
      </c>
      <c r="D813" s="166">
        <v>541</v>
      </c>
      <c r="E813" s="166" t="s">
        <v>1102</v>
      </c>
      <c r="F813" s="166">
        <v>751.44065116284287</v>
      </c>
    </row>
    <row r="814" spans="1:6">
      <c r="A814" s="403">
        <v>2011</v>
      </c>
      <c r="B814" s="403">
        <v>63</v>
      </c>
      <c r="C814" s="166">
        <v>642</v>
      </c>
      <c r="D814" s="166">
        <v>541</v>
      </c>
      <c r="E814" s="166" t="s">
        <v>1102</v>
      </c>
      <c r="F814" s="166">
        <v>751.44065116284287</v>
      </c>
    </row>
    <row r="815" spans="1:6">
      <c r="A815" s="403">
        <v>2012</v>
      </c>
      <c r="B815" s="403">
        <v>63</v>
      </c>
      <c r="C815" s="166">
        <v>642</v>
      </c>
      <c r="D815" s="166">
        <v>541</v>
      </c>
      <c r="E815" s="166" t="s">
        <v>1102</v>
      </c>
      <c r="F815" s="166">
        <v>751.44065116284287</v>
      </c>
    </row>
    <row r="816" spans="1:6">
      <c r="A816" s="403">
        <v>2013</v>
      </c>
      <c r="B816" s="403">
        <v>63</v>
      </c>
      <c r="C816" s="166">
        <v>642</v>
      </c>
      <c r="D816" s="166">
        <v>541</v>
      </c>
      <c r="E816" s="166" t="s">
        <v>1102</v>
      </c>
      <c r="F816" s="166">
        <v>751.44065116284287</v>
      </c>
    </row>
    <row r="817" spans="1:6">
      <c r="A817" s="403">
        <v>2014</v>
      </c>
      <c r="B817" s="403">
        <v>63</v>
      </c>
      <c r="C817" s="166">
        <v>642</v>
      </c>
      <c r="D817" s="166">
        <v>541</v>
      </c>
      <c r="E817" s="166" t="s">
        <v>1102</v>
      </c>
      <c r="F817" s="166">
        <v>751.44065116284287</v>
      </c>
    </row>
    <row r="818" spans="1:6">
      <c r="A818" s="403">
        <v>2015</v>
      </c>
      <c r="B818" s="403">
        <v>63</v>
      </c>
      <c r="C818" s="166">
        <v>642</v>
      </c>
      <c r="D818" s="166">
        <v>541</v>
      </c>
      <c r="E818" s="166" t="s">
        <v>1102</v>
      </c>
      <c r="F818" s="166">
        <v>751.44065116284287</v>
      </c>
    </row>
    <row r="819" spans="1:6">
      <c r="A819" s="403">
        <v>2016</v>
      </c>
      <c r="B819" s="403">
        <v>63</v>
      </c>
      <c r="C819" s="166">
        <v>642</v>
      </c>
      <c r="D819" s="166">
        <v>541</v>
      </c>
      <c r="E819" s="166" t="s">
        <v>1102</v>
      </c>
      <c r="F819" s="166">
        <v>751.44065116284287</v>
      </c>
    </row>
    <row r="820" spans="1:6">
      <c r="A820" s="403">
        <v>2017</v>
      </c>
      <c r="B820" s="403">
        <v>63</v>
      </c>
      <c r="C820" s="166">
        <v>642</v>
      </c>
      <c r="D820" s="166">
        <v>541</v>
      </c>
      <c r="E820" s="166" t="s">
        <v>1102</v>
      </c>
      <c r="F820" s="166">
        <v>751.44065116284287</v>
      </c>
    </row>
    <row r="821" spans="1:6">
      <c r="A821" s="403">
        <v>2018</v>
      </c>
      <c r="B821" s="403">
        <v>63</v>
      </c>
      <c r="C821" s="166">
        <v>642</v>
      </c>
      <c r="D821" s="166">
        <v>541</v>
      </c>
      <c r="E821" s="166" t="s">
        <v>1102</v>
      </c>
      <c r="F821" s="166">
        <v>751.44065116284287</v>
      </c>
    </row>
    <row r="822" spans="1:6">
      <c r="A822" s="403">
        <v>2019</v>
      </c>
      <c r="B822" s="403">
        <v>63</v>
      </c>
      <c r="C822" s="166">
        <v>642</v>
      </c>
      <c r="D822" s="166">
        <v>541</v>
      </c>
      <c r="E822" s="166" t="s">
        <v>1102</v>
      </c>
      <c r="F822" s="166">
        <v>751.44065116284287</v>
      </c>
    </row>
    <row r="823" spans="1:6">
      <c r="A823" s="403">
        <v>2020</v>
      </c>
      <c r="B823" s="403">
        <v>63</v>
      </c>
      <c r="C823" s="166">
        <v>642</v>
      </c>
      <c r="D823" s="166">
        <v>541</v>
      </c>
      <c r="E823" s="166" t="s">
        <v>1102</v>
      </c>
      <c r="F823" s="166">
        <v>751.44065116284287</v>
      </c>
    </row>
    <row r="824" spans="1:6">
      <c r="A824" s="403">
        <v>2021</v>
      </c>
      <c r="B824" s="403">
        <v>63</v>
      </c>
      <c r="C824" s="166">
        <v>642</v>
      </c>
      <c r="D824" s="166">
        <v>541</v>
      </c>
      <c r="E824" s="166" t="s">
        <v>1102</v>
      </c>
      <c r="F824" s="166">
        <v>751.44065116284287</v>
      </c>
    </row>
    <row r="825" spans="1:6">
      <c r="A825" s="403">
        <v>2022</v>
      </c>
      <c r="B825" s="403">
        <v>63</v>
      </c>
      <c r="C825" s="166">
        <v>642</v>
      </c>
      <c r="D825" s="166">
        <v>541</v>
      </c>
      <c r="E825" s="166" t="s">
        <v>1102</v>
      </c>
      <c r="F825" s="166">
        <v>751.44065116284287</v>
      </c>
    </row>
    <row r="826" spans="1:6">
      <c r="A826" s="403">
        <v>2023</v>
      </c>
      <c r="B826" s="403">
        <v>63</v>
      </c>
      <c r="C826" s="166">
        <v>642</v>
      </c>
      <c r="D826" s="166">
        <v>541</v>
      </c>
      <c r="E826" s="166" t="s">
        <v>1102</v>
      </c>
      <c r="F826" s="166">
        <v>751.44065116284287</v>
      </c>
    </row>
    <row r="827" spans="1:6">
      <c r="A827" s="403">
        <v>2024</v>
      </c>
      <c r="B827" s="403">
        <v>63</v>
      </c>
      <c r="C827" s="166">
        <v>642</v>
      </c>
      <c r="D827" s="166">
        <v>541</v>
      </c>
      <c r="E827" s="166" t="s">
        <v>1102</v>
      </c>
      <c r="F827" s="166">
        <v>751.44065116284287</v>
      </c>
    </row>
    <row r="828" spans="1:6">
      <c r="A828" s="403">
        <v>2025</v>
      </c>
      <c r="B828" s="403">
        <v>63</v>
      </c>
      <c r="C828" s="166">
        <v>642</v>
      </c>
      <c r="D828" s="166">
        <v>541</v>
      </c>
      <c r="E828" s="166" t="s">
        <v>1102</v>
      </c>
      <c r="F828" s="166">
        <v>751.44065116284287</v>
      </c>
    </row>
    <row r="829" spans="1:6">
      <c r="A829" s="403">
        <v>2026</v>
      </c>
      <c r="B829" s="403">
        <v>63</v>
      </c>
      <c r="C829" s="166">
        <v>642</v>
      </c>
      <c r="D829" s="166">
        <v>541</v>
      </c>
      <c r="E829" s="166" t="s">
        <v>1102</v>
      </c>
      <c r="F829" s="166">
        <v>751.44065116284287</v>
      </c>
    </row>
    <row r="830" spans="1:6">
      <c r="A830" s="403">
        <v>2027</v>
      </c>
      <c r="B830" s="403">
        <v>63</v>
      </c>
      <c r="C830" s="166">
        <v>642</v>
      </c>
      <c r="D830" s="166">
        <v>541</v>
      </c>
      <c r="E830" s="166" t="s">
        <v>1102</v>
      </c>
      <c r="F830" s="166">
        <v>751.44065116284287</v>
      </c>
    </row>
    <row r="831" spans="1:6">
      <c r="A831" s="403">
        <v>2028</v>
      </c>
      <c r="B831" s="403">
        <v>63</v>
      </c>
      <c r="C831" s="166">
        <v>642</v>
      </c>
      <c r="D831" s="166">
        <v>541</v>
      </c>
      <c r="E831" s="166" t="s">
        <v>1102</v>
      </c>
      <c r="F831" s="166">
        <v>751.44065116284287</v>
      </c>
    </row>
    <row r="832" spans="1:6">
      <c r="A832" s="403">
        <v>2029</v>
      </c>
      <c r="B832" s="403">
        <v>63</v>
      </c>
      <c r="C832" s="166">
        <v>642</v>
      </c>
      <c r="D832" s="166">
        <v>541</v>
      </c>
      <c r="E832" s="166" t="s">
        <v>1102</v>
      </c>
      <c r="F832" s="166">
        <v>751.44065116284287</v>
      </c>
    </row>
    <row r="833" spans="1:6">
      <c r="A833" s="403">
        <v>2030</v>
      </c>
      <c r="B833" s="403">
        <v>63</v>
      </c>
      <c r="C833" s="166">
        <v>642</v>
      </c>
      <c r="D833" s="166">
        <v>541</v>
      </c>
      <c r="E833" s="166" t="s">
        <v>1102</v>
      </c>
      <c r="F833" s="166">
        <v>751.44065116284287</v>
      </c>
    </row>
    <row r="834" spans="1:6">
      <c r="A834" s="403">
        <v>2031</v>
      </c>
      <c r="B834" s="403">
        <v>63</v>
      </c>
      <c r="C834" s="166">
        <v>642</v>
      </c>
      <c r="D834" s="166">
        <v>541</v>
      </c>
      <c r="E834" s="166" t="s">
        <v>1102</v>
      </c>
      <c r="F834" s="166">
        <v>751.44065116284287</v>
      </c>
    </row>
    <row r="835" spans="1:6">
      <c r="A835" s="403">
        <v>2032</v>
      </c>
      <c r="B835" s="403">
        <v>63</v>
      </c>
      <c r="C835" s="166">
        <v>642</v>
      </c>
      <c r="D835" s="166">
        <v>541</v>
      </c>
      <c r="E835" s="166" t="s">
        <v>1102</v>
      </c>
      <c r="F835" s="166">
        <v>751.44065116284287</v>
      </c>
    </row>
    <row r="836" spans="1:6">
      <c r="A836" s="403">
        <v>2033</v>
      </c>
      <c r="B836" s="403">
        <v>63</v>
      </c>
      <c r="C836" s="166">
        <v>642</v>
      </c>
      <c r="D836" s="166">
        <v>541</v>
      </c>
      <c r="E836" s="166" t="s">
        <v>1102</v>
      </c>
      <c r="F836" s="166">
        <v>751.44065116284287</v>
      </c>
    </row>
    <row r="837" spans="1:6">
      <c r="A837" s="403">
        <v>2034</v>
      </c>
      <c r="B837" s="403">
        <v>63</v>
      </c>
      <c r="C837" s="166">
        <v>642</v>
      </c>
      <c r="D837" s="166">
        <v>541</v>
      </c>
      <c r="E837" s="166" t="s">
        <v>1102</v>
      </c>
      <c r="F837" s="166">
        <v>751.44065116284287</v>
      </c>
    </row>
    <row r="838" spans="1:6">
      <c r="A838" s="403">
        <v>2035</v>
      </c>
      <c r="B838" s="403">
        <v>63</v>
      </c>
      <c r="C838" s="166">
        <v>642</v>
      </c>
      <c r="D838" s="166">
        <v>541</v>
      </c>
      <c r="E838" s="166" t="s">
        <v>1102</v>
      </c>
      <c r="F838" s="166">
        <v>751.44065116284287</v>
      </c>
    </row>
    <row r="839" spans="1:6">
      <c r="A839" s="403">
        <v>2036</v>
      </c>
      <c r="B839" s="403">
        <v>63</v>
      </c>
      <c r="C839" s="166">
        <v>642</v>
      </c>
      <c r="D839" s="166">
        <v>541</v>
      </c>
      <c r="E839" s="166" t="s">
        <v>1102</v>
      </c>
      <c r="F839" s="166">
        <v>751.44065116284287</v>
      </c>
    </row>
    <row r="840" spans="1:6">
      <c r="A840" s="403">
        <v>2037</v>
      </c>
      <c r="B840" s="403">
        <v>63</v>
      </c>
      <c r="C840" s="166">
        <v>642</v>
      </c>
      <c r="D840" s="166">
        <v>541</v>
      </c>
      <c r="E840" s="166" t="s">
        <v>1102</v>
      </c>
      <c r="F840" s="166">
        <v>751.44065116284287</v>
      </c>
    </row>
    <row r="841" spans="1:6">
      <c r="A841" s="403">
        <v>2038</v>
      </c>
      <c r="B841" s="403">
        <v>63</v>
      </c>
      <c r="C841" s="166">
        <v>642</v>
      </c>
      <c r="D841" s="166">
        <v>541</v>
      </c>
      <c r="E841" s="166" t="s">
        <v>1102</v>
      </c>
      <c r="F841" s="166">
        <v>751.44065116284287</v>
      </c>
    </row>
    <row r="842" spans="1:6">
      <c r="A842" s="403">
        <v>2039</v>
      </c>
      <c r="B842" s="403">
        <v>63</v>
      </c>
      <c r="C842" s="166">
        <v>642</v>
      </c>
      <c r="D842" s="166">
        <v>541</v>
      </c>
      <c r="E842" s="166" t="s">
        <v>1102</v>
      </c>
      <c r="F842" s="166">
        <v>751.44065116284287</v>
      </c>
    </row>
    <row r="843" spans="1:6">
      <c r="A843" s="403">
        <v>2040</v>
      </c>
      <c r="B843" s="403">
        <v>63</v>
      </c>
      <c r="C843" s="166">
        <v>642</v>
      </c>
      <c r="D843" s="166">
        <v>541</v>
      </c>
      <c r="E843" s="166" t="s">
        <v>1102</v>
      </c>
      <c r="F843" s="166">
        <v>751.44065116284287</v>
      </c>
    </row>
    <row r="844" spans="1:6">
      <c r="A844" s="403">
        <v>2041</v>
      </c>
      <c r="B844" s="403">
        <v>63</v>
      </c>
      <c r="C844" s="166">
        <v>642</v>
      </c>
      <c r="D844" s="166">
        <v>541</v>
      </c>
      <c r="E844" s="166" t="s">
        <v>1102</v>
      </c>
      <c r="F844" s="166">
        <v>751.44065116284287</v>
      </c>
    </row>
    <row r="845" spans="1:6">
      <c r="A845" s="403">
        <v>2042</v>
      </c>
      <c r="B845" s="403">
        <v>63</v>
      </c>
      <c r="C845" s="166">
        <v>642</v>
      </c>
      <c r="D845" s="166">
        <v>541</v>
      </c>
      <c r="E845" s="166" t="s">
        <v>1102</v>
      </c>
      <c r="F845" s="166">
        <v>751.44065116284287</v>
      </c>
    </row>
    <row r="846" spans="1:6">
      <c r="A846" s="403">
        <v>2043</v>
      </c>
      <c r="B846" s="403">
        <v>63</v>
      </c>
      <c r="C846" s="166">
        <v>642</v>
      </c>
      <c r="D846" s="166">
        <v>541</v>
      </c>
      <c r="E846" s="166" t="s">
        <v>1102</v>
      </c>
      <c r="F846" s="166">
        <v>751.44065116284287</v>
      </c>
    </row>
    <row r="847" spans="1:6">
      <c r="A847" s="403">
        <v>2044</v>
      </c>
      <c r="B847" s="403">
        <v>63</v>
      </c>
      <c r="C847" s="166">
        <v>642</v>
      </c>
      <c r="D847" s="166">
        <v>541</v>
      </c>
      <c r="E847" s="166" t="s">
        <v>1102</v>
      </c>
      <c r="F847" s="166">
        <v>751.44065116284287</v>
      </c>
    </row>
    <row r="848" spans="1:6">
      <c r="A848" s="403">
        <v>2045</v>
      </c>
      <c r="B848" s="403">
        <v>63</v>
      </c>
      <c r="C848" s="166">
        <v>642</v>
      </c>
      <c r="D848" s="166">
        <v>541</v>
      </c>
      <c r="E848" s="166" t="s">
        <v>1102</v>
      </c>
      <c r="F848" s="166">
        <v>751.44065116284287</v>
      </c>
    </row>
    <row r="849" spans="1:6">
      <c r="A849" s="403">
        <v>2046</v>
      </c>
      <c r="B849" s="403">
        <v>63</v>
      </c>
      <c r="C849" s="166">
        <v>642</v>
      </c>
      <c r="D849" s="166">
        <v>541</v>
      </c>
      <c r="E849" s="166" t="s">
        <v>1102</v>
      </c>
      <c r="F849" s="166">
        <v>751.44065116284287</v>
      </c>
    </row>
    <row r="850" spans="1:6">
      <c r="A850" s="403">
        <v>2047</v>
      </c>
      <c r="B850" s="403">
        <v>63</v>
      </c>
      <c r="C850" s="166">
        <v>642</v>
      </c>
      <c r="D850" s="166">
        <v>541</v>
      </c>
      <c r="E850" s="166" t="s">
        <v>1102</v>
      </c>
      <c r="F850" s="166">
        <v>751.44065116284287</v>
      </c>
    </row>
    <row r="851" spans="1:6">
      <c r="A851" s="403">
        <v>2048</v>
      </c>
      <c r="B851" s="403">
        <v>63</v>
      </c>
      <c r="C851" s="166">
        <v>642</v>
      </c>
      <c r="D851" s="166">
        <v>541</v>
      </c>
      <c r="E851" s="166" t="s">
        <v>1102</v>
      </c>
      <c r="F851" s="166">
        <v>751.44065116284287</v>
      </c>
    </row>
    <row r="852" spans="1:6">
      <c r="A852" s="403">
        <v>2049</v>
      </c>
      <c r="B852" s="403">
        <v>63</v>
      </c>
      <c r="C852" s="166">
        <v>642</v>
      </c>
      <c r="D852" s="166">
        <v>541</v>
      </c>
      <c r="E852" s="166" t="s">
        <v>1102</v>
      </c>
      <c r="F852" s="166">
        <v>751.44065116284287</v>
      </c>
    </row>
    <row r="853" spans="1:6">
      <c r="A853" s="403">
        <v>2050</v>
      </c>
      <c r="B853" s="403">
        <v>63</v>
      </c>
      <c r="C853" s="166">
        <v>642</v>
      </c>
      <c r="D853" s="166">
        <v>541</v>
      </c>
      <c r="E853" s="166" t="s">
        <v>1102</v>
      </c>
      <c r="F853" s="166">
        <v>751.44065116284287</v>
      </c>
    </row>
    <row r="854" spans="1:6">
      <c r="A854" s="403">
        <v>2051</v>
      </c>
      <c r="B854" s="403">
        <v>63</v>
      </c>
      <c r="C854" s="166">
        <v>642</v>
      </c>
      <c r="D854" s="166">
        <v>541</v>
      </c>
      <c r="E854" s="166" t="s">
        <v>1102</v>
      </c>
      <c r="F854" s="166">
        <v>751.44065116284287</v>
      </c>
    </row>
    <row r="855" spans="1:6">
      <c r="A855" s="403">
        <v>2052</v>
      </c>
      <c r="B855" s="403">
        <v>63</v>
      </c>
      <c r="C855" s="166">
        <v>642</v>
      </c>
      <c r="D855" s="166">
        <v>541</v>
      </c>
      <c r="E855" s="166" t="s">
        <v>1102</v>
      </c>
      <c r="F855" s="166">
        <v>751.44065116284287</v>
      </c>
    </row>
    <row r="856" spans="1:6">
      <c r="A856" s="403">
        <v>2055</v>
      </c>
      <c r="B856" s="403">
        <v>63</v>
      </c>
      <c r="C856" s="166">
        <v>642</v>
      </c>
      <c r="D856" s="166">
        <v>541</v>
      </c>
      <c r="E856" s="166" t="s">
        <v>1102</v>
      </c>
      <c r="F856" s="166">
        <v>751.44065116284287</v>
      </c>
    </row>
    <row r="857" spans="1:6">
      <c r="A857" s="403">
        <v>2056</v>
      </c>
      <c r="B857" s="403">
        <v>63</v>
      </c>
      <c r="C857" s="166">
        <v>642</v>
      </c>
      <c r="D857" s="166">
        <v>541</v>
      </c>
      <c r="E857" s="166" t="s">
        <v>1102</v>
      </c>
      <c r="F857" s="166">
        <v>751.44065116284287</v>
      </c>
    </row>
    <row r="858" spans="1:6">
      <c r="A858" s="403">
        <v>2057</v>
      </c>
      <c r="B858" s="403">
        <v>63</v>
      </c>
      <c r="C858" s="166">
        <v>642</v>
      </c>
      <c r="D858" s="166">
        <v>541</v>
      </c>
      <c r="E858" s="166" t="s">
        <v>1102</v>
      </c>
      <c r="F858" s="166">
        <v>751.44065116284287</v>
      </c>
    </row>
    <row r="859" spans="1:6">
      <c r="A859" s="403">
        <v>2058</v>
      </c>
      <c r="B859" s="403">
        <v>63</v>
      </c>
      <c r="C859" s="166">
        <v>642</v>
      </c>
      <c r="D859" s="166">
        <v>541</v>
      </c>
      <c r="E859" s="166" t="s">
        <v>1102</v>
      </c>
      <c r="F859" s="166">
        <v>751.44065116284287</v>
      </c>
    </row>
    <row r="860" spans="1:6">
      <c r="A860" s="403">
        <v>2059</v>
      </c>
      <c r="B860" s="403">
        <v>63</v>
      </c>
      <c r="C860" s="166">
        <v>642</v>
      </c>
      <c r="D860" s="166">
        <v>541</v>
      </c>
      <c r="E860" s="166" t="s">
        <v>1102</v>
      </c>
      <c r="F860" s="166">
        <v>751.44065116284287</v>
      </c>
    </row>
    <row r="861" spans="1:6">
      <c r="A861" s="403">
        <v>2060</v>
      </c>
      <c r="B861" s="403">
        <v>63</v>
      </c>
      <c r="C861" s="166">
        <v>642</v>
      </c>
      <c r="D861" s="166">
        <v>541</v>
      </c>
      <c r="E861" s="166" t="s">
        <v>1102</v>
      </c>
      <c r="F861" s="166">
        <v>751.44065116284287</v>
      </c>
    </row>
    <row r="862" spans="1:6">
      <c r="A862" s="403">
        <v>2061</v>
      </c>
      <c r="B862" s="403">
        <v>63</v>
      </c>
      <c r="C862" s="166">
        <v>642</v>
      </c>
      <c r="D862" s="166">
        <v>541</v>
      </c>
      <c r="E862" s="166" t="s">
        <v>1102</v>
      </c>
      <c r="F862" s="166">
        <v>751.44065116284287</v>
      </c>
    </row>
    <row r="863" spans="1:6">
      <c r="A863" s="403">
        <v>2062</v>
      </c>
      <c r="B863" s="403">
        <v>63</v>
      </c>
      <c r="C863" s="166">
        <v>642</v>
      </c>
      <c r="D863" s="166">
        <v>541</v>
      </c>
      <c r="E863" s="166" t="s">
        <v>1102</v>
      </c>
      <c r="F863" s="166">
        <v>751.44065116284287</v>
      </c>
    </row>
    <row r="864" spans="1:6">
      <c r="A864" s="403">
        <v>2063</v>
      </c>
      <c r="B864" s="403">
        <v>63</v>
      </c>
      <c r="C864" s="166">
        <v>642</v>
      </c>
      <c r="D864" s="166">
        <v>541</v>
      </c>
      <c r="E864" s="166" t="s">
        <v>1102</v>
      </c>
      <c r="F864" s="166">
        <v>751.44065116284287</v>
      </c>
    </row>
    <row r="865" spans="1:6">
      <c r="A865" s="403">
        <v>2064</v>
      </c>
      <c r="B865" s="403">
        <v>63</v>
      </c>
      <c r="C865" s="166">
        <v>642</v>
      </c>
      <c r="D865" s="166">
        <v>541</v>
      </c>
      <c r="E865" s="166" t="s">
        <v>1102</v>
      </c>
      <c r="F865" s="166">
        <v>751.44065116284287</v>
      </c>
    </row>
    <row r="866" spans="1:6">
      <c r="A866" s="403">
        <v>2065</v>
      </c>
      <c r="B866" s="403">
        <v>63</v>
      </c>
      <c r="C866" s="166">
        <v>642</v>
      </c>
      <c r="D866" s="166">
        <v>541</v>
      </c>
      <c r="E866" s="166" t="s">
        <v>1102</v>
      </c>
      <c r="F866" s="166">
        <v>751.44065116284287</v>
      </c>
    </row>
    <row r="867" spans="1:6">
      <c r="A867" s="403">
        <v>2066</v>
      </c>
      <c r="B867" s="403">
        <v>63</v>
      </c>
      <c r="C867" s="166">
        <v>642</v>
      </c>
      <c r="D867" s="166">
        <v>541</v>
      </c>
      <c r="E867" s="166" t="s">
        <v>1102</v>
      </c>
      <c r="F867" s="166">
        <v>751.44065116284287</v>
      </c>
    </row>
    <row r="868" spans="1:6">
      <c r="A868" s="403">
        <v>2067</v>
      </c>
      <c r="B868" s="403">
        <v>63</v>
      </c>
      <c r="C868" s="166">
        <v>642</v>
      </c>
      <c r="D868" s="166">
        <v>541</v>
      </c>
      <c r="E868" s="166" t="s">
        <v>1102</v>
      </c>
      <c r="F868" s="166">
        <v>751.44065116284287</v>
      </c>
    </row>
    <row r="869" spans="1:6">
      <c r="A869" s="403">
        <v>2068</v>
      </c>
      <c r="B869" s="403">
        <v>63</v>
      </c>
      <c r="C869" s="166">
        <v>642</v>
      </c>
      <c r="D869" s="166">
        <v>541</v>
      </c>
      <c r="E869" s="166" t="s">
        <v>1102</v>
      </c>
      <c r="F869" s="166">
        <v>751.44065116284287</v>
      </c>
    </row>
    <row r="870" spans="1:6">
      <c r="A870" s="403">
        <v>2069</v>
      </c>
      <c r="B870" s="403">
        <v>63</v>
      </c>
      <c r="C870" s="166">
        <v>642</v>
      </c>
      <c r="D870" s="166">
        <v>541</v>
      </c>
      <c r="E870" s="166" t="s">
        <v>1102</v>
      </c>
      <c r="F870" s="166">
        <v>751.44065116284287</v>
      </c>
    </row>
    <row r="871" spans="1:6">
      <c r="A871" s="403">
        <v>2070</v>
      </c>
      <c r="B871" s="403">
        <v>63</v>
      </c>
      <c r="C871" s="166">
        <v>642</v>
      </c>
      <c r="D871" s="166">
        <v>541</v>
      </c>
      <c r="E871" s="166" t="s">
        <v>1102</v>
      </c>
      <c r="F871" s="166">
        <v>751.44065116284287</v>
      </c>
    </row>
    <row r="872" spans="1:6">
      <c r="A872" s="403">
        <v>2071</v>
      </c>
      <c r="B872" s="403">
        <v>63</v>
      </c>
      <c r="C872" s="166">
        <v>642</v>
      </c>
      <c r="D872" s="166">
        <v>541</v>
      </c>
      <c r="E872" s="166" t="s">
        <v>1102</v>
      </c>
      <c r="F872" s="166">
        <v>751.44065116284287</v>
      </c>
    </row>
    <row r="873" spans="1:6">
      <c r="A873" s="403">
        <v>2072</v>
      </c>
      <c r="B873" s="403">
        <v>63</v>
      </c>
      <c r="C873" s="166">
        <v>642</v>
      </c>
      <c r="D873" s="166">
        <v>541</v>
      </c>
      <c r="E873" s="166" t="s">
        <v>1102</v>
      </c>
      <c r="F873" s="166">
        <v>751.44065116284287</v>
      </c>
    </row>
    <row r="874" spans="1:6">
      <c r="A874" s="403">
        <v>2073</v>
      </c>
      <c r="B874" s="403">
        <v>63</v>
      </c>
      <c r="C874" s="166">
        <v>642</v>
      </c>
      <c r="D874" s="166">
        <v>541</v>
      </c>
      <c r="E874" s="166" t="s">
        <v>1102</v>
      </c>
      <c r="F874" s="166">
        <v>751.44065116284287</v>
      </c>
    </row>
    <row r="875" spans="1:6">
      <c r="A875" s="403">
        <v>2074</v>
      </c>
      <c r="B875" s="403">
        <v>63</v>
      </c>
      <c r="C875" s="166">
        <v>642</v>
      </c>
      <c r="D875" s="166">
        <v>541</v>
      </c>
      <c r="E875" s="166" t="s">
        <v>1102</v>
      </c>
      <c r="F875" s="166">
        <v>751.44065116284287</v>
      </c>
    </row>
    <row r="876" spans="1:6">
      <c r="A876" s="403">
        <v>2075</v>
      </c>
      <c r="B876" s="403">
        <v>63</v>
      </c>
      <c r="C876" s="166">
        <v>642</v>
      </c>
      <c r="D876" s="166">
        <v>541</v>
      </c>
      <c r="E876" s="166" t="s">
        <v>1102</v>
      </c>
      <c r="F876" s="166">
        <v>751.44065116284287</v>
      </c>
    </row>
    <row r="877" spans="1:6">
      <c r="A877" s="403">
        <v>2076</v>
      </c>
      <c r="B877" s="403">
        <v>63</v>
      </c>
      <c r="C877" s="166">
        <v>642</v>
      </c>
      <c r="D877" s="166">
        <v>541</v>
      </c>
      <c r="E877" s="166" t="s">
        <v>1102</v>
      </c>
      <c r="F877" s="166">
        <v>751.44065116284287</v>
      </c>
    </row>
    <row r="878" spans="1:6">
      <c r="A878" s="403">
        <v>2077</v>
      </c>
      <c r="B878" s="403">
        <v>63</v>
      </c>
      <c r="C878" s="166">
        <v>642</v>
      </c>
      <c r="D878" s="166">
        <v>541</v>
      </c>
      <c r="E878" s="166" t="s">
        <v>1102</v>
      </c>
      <c r="F878" s="166">
        <v>751.44065116284287</v>
      </c>
    </row>
    <row r="879" spans="1:6">
      <c r="A879" s="403">
        <v>2079</v>
      </c>
      <c r="B879" s="403">
        <v>63</v>
      </c>
      <c r="C879" s="166">
        <v>642</v>
      </c>
      <c r="D879" s="166">
        <v>541</v>
      </c>
      <c r="E879" s="166" t="s">
        <v>1102</v>
      </c>
      <c r="F879" s="166">
        <v>751.44065116284287</v>
      </c>
    </row>
    <row r="880" spans="1:6">
      <c r="A880" s="403">
        <v>2080</v>
      </c>
      <c r="B880" s="403">
        <v>63</v>
      </c>
      <c r="C880" s="166">
        <v>642</v>
      </c>
      <c r="D880" s="166">
        <v>541</v>
      </c>
      <c r="E880" s="166" t="s">
        <v>1102</v>
      </c>
      <c r="F880" s="166">
        <v>751.44065116284287</v>
      </c>
    </row>
    <row r="881" spans="1:6">
      <c r="A881" s="403">
        <v>2081</v>
      </c>
      <c r="B881" s="403">
        <v>63</v>
      </c>
      <c r="C881" s="166">
        <v>642</v>
      </c>
      <c r="D881" s="166">
        <v>541</v>
      </c>
      <c r="E881" s="166" t="s">
        <v>1102</v>
      </c>
      <c r="F881" s="166">
        <v>751.44065116284287</v>
      </c>
    </row>
    <row r="882" spans="1:6">
      <c r="A882" s="403">
        <v>2082</v>
      </c>
      <c r="B882" s="403">
        <v>63</v>
      </c>
      <c r="C882" s="166">
        <v>642</v>
      </c>
      <c r="D882" s="166">
        <v>541</v>
      </c>
      <c r="E882" s="166" t="s">
        <v>1102</v>
      </c>
      <c r="F882" s="166">
        <v>751.44065116284287</v>
      </c>
    </row>
    <row r="883" spans="1:6">
      <c r="A883" s="403">
        <v>2083</v>
      </c>
      <c r="B883" s="403">
        <v>63</v>
      </c>
      <c r="C883" s="166">
        <v>642</v>
      </c>
      <c r="D883" s="166">
        <v>541</v>
      </c>
      <c r="E883" s="166" t="s">
        <v>1102</v>
      </c>
      <c r="F883" s="166">
        <v>751.44065116284287</v>
      </c>
    </row>
    <row r="884" spans="1:6">
      <c r="A884" s="403">
        <v>2084</v>
      </c>
      <c r="B884" s="403">
        <v>63</v>
      </c>
      <c r="C884" s="166">
        <v>642</v>
      </c>
      <c r="D884" s="166">
        <v>541</v>
      </c>
      <c r="E884" s="166" t="s">
        <v>1102</v>
      </c>
      <c r="F884" s="166">
        <v>751.44065116284287</v>
      </c>
    </row>
    <row r="885" spans="1:6">
      <c r="A885" s="403">
        <v>2085</v>
      </c>
      <c r="B885" s="403">
        <v>63</v>
      </c>
      <c r="C885" s="166">
        <v>642</v>
      </c>
      <c r="D885" s="166">
        <v>541</v>
      </c>
      <c r="E885" s="166" t="s">
        <v>1102</v>
      </c>
      <c r="F885" s="166">
        <v>751.44065116284287</v>
      </c>
    </row>
    <row r="886" spans="1:6">
      <c r="A886" s="403">
        <v>2086</v>
      </c>
      <c r="B886" s="403">
        <v>63</v>
      </c>
      <c r="C886" s="166">
        <v>642</v>
      </c>
      <c r="D886" s="166">
        <v>541</v>
      </c>
      <c r="E886" s="166" t="s">
        <v>1102</v>
      </c>
      <c r="F886" s="166">
        <v>751.44065116284287</v>
      </c>
    </row>
    <row r="887" spans="1:6">
      <c r="A887" s="403">
        <v>2087</v>
      </c>
      <c r="B887" s="403">
        <v>63</v>
      </c>
      <c r="C887" s="166">
        <v>642</v>
      </c>
      <c r="D887" s="166">
        <v>541</v>
      </c>
      <c r="E887" s="166" t="s">
        <v>1102</v>
      </c>
      <c r="F887" s="166">
        <v>751.44065116284287</v>
      </c>
    </row>
    <row r="888" spans="1:6">
      <c r="A888" s="403">
        <v>2088</v>
      </c>
      <c r="B888" s="403">
        <v>63</v>
      </c>
      <c r="C888" s="166">
        <v>642</v>
      </c>
      <c r="D888" s="166">
        <v>541</v>
      </c>
      <c r="E888" s="166" t="s">
        <v>1102</v>
      </c>
      <c r="F888" s="166">
        <v>751.44065116284287</v>
      </c>
    </row>
    <row r="889" spans="1:6">
      <c r="A889" s="403">
        <v>2089</v>
      </c>
      <c r="B889" s="403">
        <v>63</v>
      </c>
      <c r="C889" s="166">
        <v>642</v>
      </c>
      <c r="D889" s="166">
        <v>541</v>
      </c>
      <c r="E889" s="166" t="s">
        <v>1102</v>
      </c>
      <c r="F889" s="166">
        <v>751.44065116284287</v>
      </c>
    </row>
    <row r="890" spans="1:6">
      <c r="A890" s="403">
        <v>2090</v>
      </c>
      <c r="B890" s="403">
        <v>63</v>
      </c>
      <c r="C890" s="166">
        <v>642</v>
      </c>
      <c r="D890" s="166">
        <v>541</v>
      </c>
      <c r="E890" s="166" t="s">
        <v>1102</v>
      </c>
      <c r="F890" s="166">
        <v>751.44065116284287</v>
      </c>
    </row>
    <row r="891" spans="1:6">
      <c r="A891" s="403">
        <v>2091</v>
      </c>
      <c r="B891" s="403">
        <v>63</v>
      </c>
      <c r="C891" s="166">
        <v>642</v>
      </c>
      <c r="D891" s="166">
        <v>541</v>
      </c>
      <c r="E891" s="166" t="s">
        <v>1102</v>
      </c>
      <c r="F891" s="166">
        <v>751.44065116284287</v>
      </c>
    </row>
    <row r="892" spans="1:6">
      <c r="A892" s="403">
        <v>2092</v>
      </c>
      <c r="B892" s="403">
        <v>63</v>
      </c>
      <c r="C892" s="166">
        <v>642</v>
      </c>
      <c r="D892" s="166">
        <v>541</v>
      </c>
      <c r="E892" s="166" t="s">
        <v>1102</v>
      </c>
      <c r="F892" s="166">
        <v>751.44065116284287</v>
      </c>
    </row>
    <row r="893" spans="1:6">
      <c r="A893" s="403">
        <v>2093</v>
      </c>
      <c r="B893" s="403">
        <v>63</v>
      </c>
      <c r="C893" s="166">
        <v>642</v>
      </c>
      <c r="D893" s="166">
        <v>541</v>
      </c>
      <c r="E893" s="166" t="s">
        <v>1102</v>
      </c>
      <c r="F893" s="166">
        <v>751.44065116284287</v>
      </c>
    </row>
    <row r="894" spans="1:6">
      <c r="A894" s="403">
        <v>2094</v>
      </c>
      <c r="B894" s="403">
        <v>63</v>
      </c>
      <c r="C894" s="166">
        <v>642</v>
      </c>
      <c r="D894" s="166">
        <v>541</v>
      </c>
      <c r="E894" s="166" t="s">
        <v>1102</v>
      </c>
      <c r="F894" s="166">
        <v>751.44065116284287</v>
      </c>
    </row>
    <row r="895" spans="1:6">
      <c r="A895" s="403">
        <v>2095</v>
      </c>
      <c r="B895" s="403">
        <v>63</v>
      </c>
      <c r="C895" s="166">
        <v>642</v>
      </c>
      <c r="D895" s="166">
        <v>541</v>
      </c>
      <c r="E895" s="166" t="s">
        <v>1102</v>
      </c>
      <c r="F895" s="166">
        <v>751.44065116284287</v>
      </c>
    </row>
    <row r="896" spans="1:6">
      <c r="A896" s="403">
        <v>2096</v>
      </c>
      <c r="B896" s="403">
        <v>63</v>
      </c>
      <c r="C896" s="166">
        <v>642</v>
      </c>
      <c r="D896" s="166">
        <v>541</v>
      </c>
      <c r="E896" s="166" t="s">
        <v>1102</v>
      </c>
      <c r="F896" s="166">
        <v>751.44065116284287</v>
      </c>
    </row>
    <row r="897" spans="1:6">
      <c r="A897" s="403">
        <v>2097</v>
      </c>
      <c r="B897" s="403">
        <v>63</v>
      </c>
      <c r="C897" s="166">
        <v>642</v>
      </c>
      <c r="D897" s="166">
        <v>541</v>
      </c>
      <c r="E897" s="166" t="s">
        <v>1102</v>
      </c>
      <c r="F897" s="166">
        <v>751.44065116284287</v>
      </c>
    </row>
    <row r="898" spans="1:6">
      <c r="A898" s="403">
        <v>2099</v>
      </c>
      <c r="B898" s="403">
        <v>63</v>
      </c>
      <c r="C898" s="166">
        <v>642</v>
      </c>
      <c r="D898" s="166">
        <v>541</v>
      </c>
      <c r="E898" s="166" t="s">
        <v>1102</v>
      </c>
      <c r="F898" s="166">
        <v>751.44065116284287</v>
      </c>
    </row>
    <row r="899" spans="1:6">
      <c r="A899" s="403">
        <v>2100</v>
      </c>
      <c r="B899" s="403">
        <v>63</v>
      </c>
      <c r="C899" s="166">
        <v>642</v>
      </c>
      <c r="D899" s="166">
        <v>541</v>
      </c>
      <c r="E899" s="166" t="s">
        <v>1102</v>
      </c>
      <c r="F899" s="166">
        <v>751.44065116284287</v>
      </c>
    </row>
    <row r="900" spans="1:6">
      <c r="A900" s="403">
        <v>2101</v>
      </c>
      <c r="B900" s="403">
        <v>63</v>
      </c>
      <c r="C900" s="166">
        <v>642</v>
      </c>
      <c r="D900" s="166">
        <v>541</v>
      </c>
      <c r="E900" s="166" t="s">
        <v>1102</v>
      </c>
      <c r="F900" s="166">
        <v>751.44065116284287</v>
      </c>
    </row>
    <row r="901" spans="1:6">
      <c r="A901" s="403">
        <v>2102</v>
      </c>
      <c r="B901" s="403">
        <v>63</v>
      </c>
      <c r="C901" s="166">
        <v>642</v>
      </c>
      <c r="D901" s="166">
        <v>541</v>
      </c>
      <c r="E901" s="166" t="s">
        <v>1102</v>
      </c>
      <c r="F901" s="166">
        <v>751.44065116284287</v>
      </c>
    </row>
    <row r="902" spans="1:6">
      <c r="A902" s="403">
        <v>2103</v>
      </c>
      <c r="B902" s="403">
        <v>63</v>
      </c>
      <c r="C902" s="166">
        <v>642</v>
      </c>
      <c r="D902" s="166">
        <v>541</v>
      </c>
      <c r="E902" s="166" t="s">
        <v>1102</v>
      </c>
      <c r="F902" s="166">
        <v>751.44065116284287</v>
      </c>
    </row>
    <row r="903" spans="1:6">
      <c r="A903" s="403">
        <v>2104</v>
      </c>
      <c r="B903" s="403">
        <v>63</v>
      </c>
      <c r="C903" s="166">
        <v>642</v>
      </c>
      <c r="D903" s="166">
        <v>541</v>
      </c>
      <c r="E903" s="166" t="s">
        <v>1102</v>
      </c>
      <c r="F903" s="166">
        <v>751.44065116284287</v>
      </c>
    </row>
    <row r="904" spans="1:6">
      <c r="A904" s="403">
        <v>2105</v>
      </c>
      <c r="B904" s="403">
        <v>63</v>
      </c>
      <c r="C904" s="166">
        <v>642</v>
      </c>
      <c r="D904" s="166">
        <v>541</v>
      </c>
      <c r="E904" s="166" t="s">
        <v>1102</v>
      </c>
      <c r="F904" s="166">
        <v>751.44065116284287</v>
      </c>
    </row>
    <row r="905" spans="1:6">
      <c r="A905" s="403">
        <v>2106</v>
      </c>
      <c r="B905" s="403">
        <v>63</v>
      </c>
      <c r="C905" s="166">
        <v>642</v>
      </c>
      <c r="D905" s="166">
        <v>541</v>
      </c>
      <c r="E905" s="166" t="s">
        <v>1102</v>
      </c>
      <c r="F905" s="166">
        <v>751.44065116284287</v>
      </c>
    </row>
    <row r="906" spans="1:6">
      <c r="A906" s="403">
        <v>2107</v>
      </c>
      <c r="B906" s="403">
        <v>63</v>
      </c>
      <c r="C906" s="166">
        <v>642</v>
      </c>
      <c r="D906" s="166">
        <v>541</v>
      </c>
      <c r="E906" s="166" t="s">
        <v>1102</v>
      </c>
      <c r="F906" s="166">
        <v>751.44065116284287</v>
      </c>
    </row>
    <row r="907" spans="1:6">
      <c r="A907" s="403">
        <v>2108</v>
      </c>
      <c r="B907" s="403">
        <v>63</v>
      </c>
      <c r="C907" s="166">
        <v>642</v>
      </c>
      <c r="D907" s="166">
        <v>541</v>
      </c>
      <c r="E907" s="166" t="s">
        <v>1102</v>
      </c>
      <c r="F907" s="166">
        <v>751.44065116284287</v>
      </c>
    </row>
    <row r="908" spans="1:6">
      <c r="A908" s="403">
        <v>2109</v>
      </c>
      <c r="B908" s="403">
        <v>63</v>
      </c>
      <c r="C908" s="166">
        <v>642</v>
      </c>
      <c r="D908" s="166">
        <v>541</v>
      </c>
      <c r="E908" s="166" t="s">
        <v>1102</v>
      </c>
      <c r="F908" s="166">
        <v>751.44065116284287</v>
      </c>
    </row>
    <row r="909" spans="1:6">
      <c r="A909" s="403">
        <v>2110</v>
      </c>
      <c r="B909" s="403">
        <v>63</v>
      </c>
      <c r="C909" s="166">
        <v>642</v>
      </c>
      <c r="D909" s="166">
        <v>541</v>
      </c>
      <c r="E909" s="166" t="s">
        <v>1102</v>
      </c>
      <c r="F909" s="166">
        <v>751.44065116284287</v>
      </c>
    </row>
    <row r="910" spans="1:6">
      <c r="A910" s="403">
        <v>2111</v>
      </c>
      <c r="B910" s="403">
        <v>63</v>
      </c>
      <c r="C910" s="166">
        <v>642</v>
      </c>
      <c r="D910" s="166">
        <v>541</v>
      </c>
      <c r="E910" s="166" t="s">
        <v>1102</v>
      </c>
      <c r="F910" s="166">
        <v>751.44065116284287</v>
      </c>
    </row>
    <row r="911" spans="1:6">
      <c r="A911" s="403">
        <v>2112</v>
      </c>
      <c r="B911" s="403">
        <v>63</v>
      </c>
      <c r="C911" s="166">
        <v>642</v>
      </c>
      <c r="D911" s="166">
        <v>541</v>
      </c>
      <c r="E911" s="166" t="s">
        <v>1102</v>
      </c>
      <c r="F911" s="166">
        <v>751.44065116284287</v>
      </c>
    </row>
    <row r="912" spans="1:6">
      <c r="A912" s="403">
        <v>2113</v>
      </c>
      <c r="B912" s="403">
        <v>63</v>
      </c>
      <c r="C912" s="166">
        <v>642</v>
      </c>
      <c r="D912" s="166">
        <v>541</v>
      </c>
      <c r="E912" s="166" t="s">
        <v>1102</v>
      </c>
      <c r="F912" s="166">
        <v>751.44065116284287</v>
      </c>
    </row>
    <row r="913" spans="1:6">
      <c r="A913" s="403">
        <v>2114</v>
      </c>
      <c r="B913" s="403">
        <v>63</v>
      </c>
      <c r="C913" s="166">
        <v>642</v>
      </c>
      <c r="D913" s="166">
        <v>541</v>
      </c>
      <c r="E913" s="166" t="s">
        <v>1102</v>
      </c>
      <c r="F913" s="166">
        <v>751.44065116284287</v>
      </c>
    </row>
    <row r="914" spans="1:6">
      <c r="A914" s="403">
        <v>2115</v>
      </c>
      <c r="B914" s="403">
        <v>63</v>
      </c>
      <c r="C914" s="166">
        <v>642</v>
      </c>
      <c r="D914" s="166">
        <v>541</v>
      </c>
      <c r="E914" s="166" t="s">
        <v>1102</v>
      </c>
      <c r="F914" s="166">
        <v>751.44065116284287</v>
      </c>
    </row>
    <row r="915" spans="1:6">
      <c r="A915" s="403">
        <v>2116</v>
      </c>
      <c r="B915" s="403">
        <v>63</v>
      </c>
      <c r="C915" s="166">
        <v>642</v>
      </c>
      <c r="D915" s="166">
        <v>541</v>
      </c>
      <c r="E915" s="166" t="s">
        <v>1102</v>
      </c>
      <c r="F915" s="166">
        <v>751.44065116284287</v>
      </c>
    </row>
    <row r="916" spans="1:6">
      <c r="A916" s="403">
        <v>2117</v>
      </c>
      <c r="B916" s="403">
        <v>63</v>
      </c>
      <c r="C916" s="166">
        <v>642</v>
      </c>
      <c r="D916" s="166">
        <v>541</v>
      </c>
      <c r="E916" s="166" t="s">
        <v>1102</v>
      </c>
      <c r="F916" s="166">
        <v>751.44065116284287</v>
      </c>
    </row>
    <row r="917" spans="1:6">
      <c r="A917" s="403">
        <v>2118</v>
      </c>
      <c r="B917" s="403">
        <v>63</v>
      </c>
      <c r="C917" s="166">
        <v>642</v>
      </c>
      <c r="D917" s="166">
        <v>541</v>
      </c>
      <c r="E917" s="166" t="s">
        <v>1102</v>
      </c>
      <c r="F917" s="166">
        <v>751.44065116284287</v>
      </c>
    </row>
    <row r="918" spans="1:6">
      <c r="A918" s="403">
        <v>2119</v>
      </c>
      <c r="B918" s="403">
        <v>63</v>
      </c>
      <c r="C918" s="166">
        <v>642</v>
      </c>
      <c r="D918" s="166">
        <v>541</v>
      </c>
      <c r="E918" s="166" t="s">
        <v>1102</v>
      </c>
      <c r="F918" s="166">
        <v>751.44065116284287</v>
      </c>
    </row>
    <row r="919" spans="1:6">
      <c r="A919" s="403">
        <v>2120</v>
      </c>
      <c r="B919" s="403">
        <v>63</v>
      </c>
      <c r="C919" s="166">
        <v>642</v>
      </c>
      <c r="D919" s="166">
        <v>541</v>
      </c>
      <c r="E919" s="166" t="s">
        <v>1102</v>
      </c>
      <c r="F919" s="166">
        <v>751.44065116284287</v>
      </c>
    </row>
    <row r="920" spans="1:6">
      <c r="A920" s="403">
        <v>2121</v>
      </c>
      <c r="B920" s="403">
        <v>63</v>
      </c>
      <c r="C920" s="166">
        <v>642</v>
      </c>
      <c r="D920" s="166">
        <v>541</v>
      </c>
      <c r="E920" s="166" t="s">
        <v>1102</v>
      </c>
      <c r="F920" s="166">
        <v>751.44065116284287</v>
      </c>
    </row>
    <row r="921" spans="1:6">
      <c r="A921" s="403">
        <v>2122</v>
      </c>
      <c r="B921" s="403">
        <v>63</v>
      </c>
      <c r="C921" s="166">
        <v>642</v>
      </c>
      <c r="D921" s="166">
        <v>541</v>
      </c>
      <c r="E921" s="166" t="s">
        <v>1102</v>
      </c>
      <c r="F921" s="166">
        <v>751.44065116284287</v>
      </c>
    </row>
    <row r="922" spans="1:6">
      <c r="A922" s="403">
        <v>2123</v>
      </c>
      <c r="B922" s="403">
        <v>63</v>
      </c>
      <c r="C922" s="166">
        <v>642</v>
      </c>
      <c r="D922" s="166">
        <v>541</v>
      </c>
      <c r="E922" s="166" t="s">
        <v>1102</v>
      </c>
      <c r="F922" s="166">
        <v>751.44065116284287</v>
      </c>
    </row>
    <row r="923" spans="1:6">
      <c r="A923" s="403">
        <v>2124</v>
      </c>
      <c r="B923" s="403">
        <v>63</v>
      </c>
      <c r="C923" s="166">
        <v>642</v>
      </c>
      <c r="D923" s="166">
        <v>541</v>
      </c>
      <c r="E923" s="166" t="s">
        <v>1102</v>
      </c>
      <c r="F923" s="166">
        <v>751.44065116284287</v>
      </c>
    </row>
    <row r="924" spans="1:6">
      <c r="A924" s="403">
        <v>2125</v>
      </c>
      <c r="B924" s="403">
        <v>63</v>
      </c>
      <c r="C924" s="166">
        <v>642</v>
      </c>
      <c r="D924" s="166">
        <v>541</v>
      </c>
      <c r="E924" s="166" t="s">
        <v>1102</v>
      </c>
      <c r="F924" s="166">
        <v>751.44065116284287</v>
      </c>
    </row>
    <row r="925" spans="1:6">
      <c r="A925" s="403">
        <v>2126</v>
      </c>
      <c r="B925" s="403">
        <v>63</v>
      </c>
      <c r="C925" s="166">
        <v>642</v>
      </c>
      <c r="D925" s="166">
        <v>541</v>
      </c>
      <c r="E925" s="166" t="s">
        <v>1102</v>
      </c>
      <c r="F925" s="166">
        <v>751.44065116284287</v>
      </c>
    </row>
    <row r="926" spans="1:6">
      <c r="A926" s="403">
        <v>2127</v>
      </c>
      <c r="B926" s="403">
        <v>63</v>
      </c>
      <c r="C926" s="166">
        <v>642</v>
      </c>
      <c r="D926" s="166">
        <v>541</v>
      </c>
      <c r="E926" s="166" t="s">
        <v>1102</v>
      </c>
      <c r="F926" s="166">
        <v>751.44065116284287</v>
      </c>
    </row>
    <row r="927" spans="1:6">
      <c r="A927" s="403">
        <v>2128</v>
      </c>
      <c r="B927" s="403">
        <v>63</v>
      </c>
      <c r="C927" s="166">
        <v>642</v>
      </c>
      <c r="D927" s="166">
        <v>541</v>
      </c>
      <c r="E927" s="166" t="s">
        <v>1102</v>
      </c>
      <c r="F927" s="166">
        <v>751.44065116284287</v>
      </c>
    </row>
    <row r="928" spans="1:6">
      <c r="A928" s="403">
        <v>2129</v>
      </c>
      <c r="B928" s="403">
        <v>63</v>
      </c>
      <c r="C928" s="166">
        <v>642</v>
      </c>
      <c r="D928" s="166">
        <v>541</v>
      </c>
      <c r="E928" s="166" t="s">
        <v>1102</v>
      </c>
      <c r="F928" s="166">
        <v>751.44065116284287</v>
      </c>
    </row>
    <row r="929" spans="1:6">
      <c r="A929" s="403">
        <v>2130</v>
      </c>
      <c r="B929" s="403">
        <v>63</v>
      </c>
      <c r="C929" s="166">
        <v>642</v>
      </c>
      <c r="D929" s="166">
        <v>541</v>
      </c>
      <c r="E929" s="166" t="s">
        <v>1102</v>
      </c>
      <c r="F929" s="166">
        <v>751.44065116284287</v>
      </c>
    </row>
    <row r="930" spans="1:6">
      <c r="A930" s="403">
        <v>2131</v>
      </c>
      <c r="B930" s="403">
        <v>63</v>
      </c>
      <c r="C930" s="166">
        <v>642</v>
      </c>
      <c r="D930" s="166">
        <v>541</v>
      </c>
      <c r="E930" s="166" t="s">
        <v>1102</v>
      </c>
      <c r="F930" s="166">
        <v>751.44065116284287</v>
      </c>
    </row>
    <row r="931" spans="1:6">
      <c r="A931" s="403">
        <v>2132</v>
      </c>
      <c r="B931" s="403">
        <v>63</v>
      </c>
      <c r="C931" s="166">
        <v>642</v>
      </c>
      <c r="D931" s="166">
        <v>541</v>
      </c>
      <c r="E931" s="166" t="s">
        <v>1102</v>
      </c>
      <c r="F931" s="166">
        <v>751.44065116284287</v>
      </c>
    </row>
    <row r="932" spans="1:6">
      <c r="A932" s="403">
        <v>2133</v>
      </c>
      <c r="B932" s="403">
        <v>63</v>
      </c>
      <c r="C932" s="166">
        <v>642</v>
      </c>
      <c r="D932" s="166">
        <v>541</v>
      </c>
      <c r="E932" s="166" t="s">
        <v>1102</v>
      </c>
      <c r="F932" s="166">
        <v>751.44065116284287</v>
      </c>
    </row>
    <row r="933" spans="1:6">
      <c r="A933" s="403">
        <v>2134</v>
      </c>
      <c r="B933" s="403">
        <v>63</v>
      </c>
      <c r="C933" s="166">
        <v>642</v>
      </c>
      <c r="D933" s="166">
        <v>541</v>
      </c>
      <c r="E933" s="166" t="s">
        <v>1102</v>
      </c>
      <c r="F933" s="166">
        <v>751.44065116284287</v>
      </c>
    </row>
    <row r="934" spans="1:6">
      <c r="A934" s="403">
        <v>2135</v>
      </c>
      <c r="B934" s="403">
        <v>63</v>
      </c>
      <c r="C934" s="166">
        <v>642</v>
      </c>
      <c r="D934" s="166">
        <v>541</v>
      </c>
      <c r="E934" s="166" t="s">
        <v>1102</v>
      </c>
      <c r="F934" s="166">
        <v>751.44065116284287</v>
      </c>
    </row>
    <row r="935" spans="1:6">
      <c r="A935" s="403">
        <v>2136</v>
      </c>
      <c r="B935" s="403">
        <v>63</v>
      </c>
      <c r="C935" s="166">
        <v>642</v>
      </c>
      <c r="D935" s="166">
        <v>541</v>
      </c>
      <c r="E935" s="166" t="s">
        <v>1102</v>
      </c>
      <c r="F935" s="166">
        <v>751.44065116284287</v>
      </c>
    </row>
    <row r="936" spans="1:6">
      <c r="A936" s="403">
        <v>2137</v>
      </c>
      <c r="B936" s="403">
        <v>63</v>
      </c>
      <c r="C936" s="166">
        <v>642</v>
      </c>
      <c r="D936" s="166">
        <v>541</v>
      </c>
      <c r="E936" s="166" t="s">
        <v>1102</v>
      </c>
      <c r="F936" s="166">
        <v>751.44065116284287</v>
      </c>
    </row>
    <row r="937" spans="1:6">
      <c r="A937" s="403">
        <v>2138</v>
      </c>
      <c r="B937" s="403">
        <v>63</v>
      </c>
      <c r="C937" s="166">
        <v>642</v>
      </c>
      <c r="D937" s="166">
        <v>541</v>
      </c>
      <c r="E937" s="166" t="s">
        <v>1102</v>
      </c>
      <c r="F937" s="166">
        <v>751.44065116284287</v>
      </c>
    </row>
    <row r="938" spans="1:6">
      <c r="A938" s="403">
        <v>2139</v>
      </c>
      <c r="B938" s="403">
        <v>63</v>
      </c>
      <c r="C938" s="166">
        <v>642</v>
      </c>
      <c r="D938" s="166">
        <v>541</v>
      </c>
      <c r="E938" s="166" t="s">
        <v>1102</v>
      </c>
      <c r="F938" s="166">
        <v>751.44065116284287</v>
      </c>
    </row>
    <row r="939" spans="1:6">
      <c r="A939" s="403">
        <v>2140</v>
      </c>
      <c r="B939" s="403">
        <v>63</v>
      </c>
      <c r="C939" s="166">
        <v>642</v>
      </c>
      <c r="D939" s="166">
        <v>541</v>
      </c>
      <c r="E939" s="166" t="s">
        <v>1102</v>
      </c>
      <c r="F939" s="166">
        <v>751.44065116284287</v>
      </c>
    </row>
    <row r="940" spans="1:6">
      <c r="A940" s="403">
        <v>2141</v>
      </c>
      <c r="B940" s="403">
        <v>63</v>
      </c>
      <c r="C940" s="166">
        <v>642</v>
      </c>
      <c r="D940" s="166">
        <v>541</v>
      </c>
      <c r="E940" s="166" t="s">
        <v>1102</v>
      </c>
      <c r="F940" s="166">
        <v>751.44065116284287</v>
      </c>
    </row>
    <row r="941" spans="1:6">
      <c r="A941" s="403">
        <v>2142</v>
      </c>
      <c r="B941" s="403">
        <v>63</v>
      </c>
      <c r="C941" s="166">
        <v>642</v>
      </c>
      <c r="D941" s="166">
        <v>541</v>
      </c>
      <c r="E941" s="166" t="s">
        <v>1102</v>
      </c>
      <c r="F941" s="166">
        <v>751.44065116284287</v>
      </c>
    </row>
    <row r="942" spans="1:6">
      <c r="A942" s="403">
        <v>2143</v>
      </c>
      <c r="B942" s="403">
        <v>63</v>
      </c>
      <c r="C942" s="166">
        <v>642</v>
      </c>
      <c r="D942" s="166">
        <v>541</v>
      </c>
      <c r="E942" s="166" t="s">
        <v>1102</v>
      </c>
      <c r="F942" s="166">
        <v>751.44065116284287</v>
      </c>
    </row>
    <row r="943" spans="1:6">
      <c r="A943" s="403">
        <v>2144</v>
      </c>
      <c r="B943" s="403">
        <v>63</v>
      </c>
      <c r="C943" s="166">
        <v>642</v>
      </c>
      <c r="D943" s="166">
        <v>541</v>
      </c>
      <c r="E943" s="166" t="s">
        <v>1102</v>
      </c>
      <c r="F943" s="166">
        <v>751.44065116284287</v>
      </c>
    </row>
    <row r="944" spans="1:6">
      <c r="A944" s="403">
        <v>2145</v>
      </c>
      <c r="B944" s="403">
        <v>63</v>
      </c>
      <c r="C944" s="166">
        <v>642</v>
      </c>
      <c r="D944" s="166">
        <v>541</v>
      </c>
      <c r="E944" s="166" t="s">
        <v>1102</v>
      </c>
      <c r="F944" s="166">
        <v>751.44065116284287</v>
      </c>
    </row>
    <row r="945" spans="1:6">
      <c r="A945" s="403">
        <v>2146</v>
      </c>
      <c r="B945" s="403">
        <v>63</v>
      </c>
      <c r="C945" s="166">
        <v>642</v>
      </c>
      <c r="D945" s="166">
        <v>541</v>
      </c>
      <c r="E945" s="166" t="s">
        <v>1102</v>
      </c>
      <c r="F945" s="166">
        <v>751.44065116284287</v>
      </c>
    </row>
    <row r="946" spans="1:6">
      <c r="A946" s="403">
        <v>2147</v>
      </c>
      <c r="B946" s="403">
        <v>63</v>
      </c>
      <c r="C946" s="166">
        <v>642</v>
      </c>
      <c r="D946" s="166">
        <v>541</v>
      </c>
      <c r="E946" s="166" t="s">
        <v>1102</v>
      </c>
      <c r="F946" s="166">
        <v>751.44065116284287</v>
      </c>
    </row>
    <row r="947" spans="1:6">
      <c r="A947" s="403">
        <v>2148</v>
      </c>
      <c r="B947" s="403">
        <v>63</v>
      </c>
      <c r="C947" s="166">
        <v>642</v>
      </c>
      <c r="D947" s="166">
        <v>541</v>
      </c>
      <c r="E947" s="166" t="s">
        <v>1102</v>
      </c>
      <c r="F947" s="166">
        <v>751.44065116284287</v>
      </c>
    </row>
    <row r="948" spans="1:6">
      <c r="A948" s="403">
        <v>2150</v>
      </c>
      <c r="B948" s="403">
        <v>63</v>
      </c>
      <c r="C948" s="166">
        <v>642</v>
      </c>
      <c r="D948" s="166">
        <v>541</v>
      </c>
      <c r="E948" s="166" t="s">
        <v>1102</v>
      </c>
      <c r="F948" s="166">
        <v>751.44065116284287</v>
      </c>
    </row>
    <row r="949" spans="1:6">
      <c r="A949" s="403">
        <v>2151</v>
      </c>
      <c r="B949" s="403">
        <v>63</v>
      </c>
      <c r="C949" s="166">
        <v>642</v>
      </c>
      <c r="D949" s="166">
        <v>541</v>
      </c>
      <c r="E949" s="166" t="s">
        <v>1102</v>
      </c>
      <c r="F949" s="166">
        <v>751.44065116284287</v>
      </c>
    </row>
    <row r="950" spans="1:6">
      <c r="A950" s="403">
        <v>2152</v>
      </c>
      <c r="B950" s="403">
        <v>63</v>
      </c>
      <c r="C950" s="166">
        <v>642</v>
      </c>
      <c r="D950" s="166">
        <v>541</v>
      </c>
      <c r="E950" s="166" t="s">
        <v>1102</v>
      </c>
      <c r="F950" s="166">
        <v>751.44065116284287</v>
      </c>
    </row>
    <row r="951" spans="1:6">
      <c r="A951" s="403">
        <v>2153</v>
      </c>
      <c r="B951" s="403">
        <v>63</v>
      </c>
      <c r="C951" s="166">
        <v>642</v>
      </c>
      <c r="D951" s="166">
        <v>541</v>
      </c>
      <c r="E951" s="166" t="s">
        <v>1102</v>
      </c>
      <c r="F951" s="166">
        <v>751.44065116284287</v>
      </c>
    </row>
    <row r="952" spans="1:6">
      <c r="A952" s="403">
        <v>2154</v>
      </c>
      <c r="B952" s="403">
        <v>63</v>
      </c>
      <c r="C952" s="166">
        <v>642</v>
      </c>
      <c r="D952" s="166">
        <v>541</v>
      </c>
      <c r="E952" s="166" t="s">
        <v>1102</v>
      </c>
      <c r="F952" s="166">
        <v>751.44065116284287</v>
      </c>
    </row>
    <row r="953" spans="1:6">
      <c r="A953" s="403">
        <v>2155</v>
      </c>
      <c r="B953" s="403">
        <v>63</v>
      </c>
      <c r="C953" s="166">
        <v>642</v>
      </c>
      <c r="D953" s="166">
        <v>541</v>
      </c>
      <c r="E953" s="166" t="s">
        <v>1102</v>
      </c>
      <c r="F953" s="166">
        <v>751.44065116284287</v>
      </c>
    </row>
    <row r="954" spans="1:6">
      <c r="A954" s="403">
        <v>2156</v>
      </c>
      <c r="B954" s="403">
        <v>63</v>
      </c>
      <c r="C954" s="166">
        <v>642</v>
      </c>
      <c r="D954" s="166">
        <v>541</v>
      </c>
      <c r="E954" s="166" t="s">
        <v>1102</v>
      </c>
      <c r="F954" s="166">
        <v>751.44065116284287</v>
      </c>
    </row>
    <row r="955" spans="1:6">
      <c r="A955" s="403">
        <v>2157</v>
      </c>
      <c r="B955" s="403">
        <v>63</v>
      </c>
      <c r="C955" s="166">
        <v>642</v>
      </c>
      <c r="D955" s="166">
        <v>541</v>
      </c>
      <c r="E955" s="166" t="s">
        <v>1102</v>
      </c>
      <c r="F955" s="166">
        <v>751.44065116284287</v>
      </c>
    </row>
    <row r="956" spans="1:6">
      <c r="A956" s="403">
        <v>2158</v>
      </c>
      <c r="B956" s="403">
        <v>63</v>
      </c>
      <c r="C956" s="166">
        <v>642</v>
      </c>
      <c r="D956" s="166">
        <v>541</v>
      </c>
      <c r="E956" s="166" t="s">
        <v>1102</v>
      </c>
      <c r="F956" s="166">
        <v>751.44065116284287</v>
      </c>
    </row>
    <row r="957" spans="1:6">
      <c r="A957" s="403">
        <v>2159</v>
      </c>
      <c r="B957" s="403">
        <v>63</v>
      </c>
      <c r="C957" s="166">
        <v>642</v>
      </c>
      <c r="D957" s="166">
        <v>541</v>
      </c>
      <c r="E957" s="166" t="s">
        <v>1102</v>
      </c>
      <c r="F957" s="166">
        <v>751.44065116284287</v>
      </c>
    </row>
    <row r="958" spans="1:6">
      <c r="A958" s="403">
        <v>2160</v>
      </c>
      <c r="B958" s="403">
        <v>63</v>
      </c>
      <c r="C958" s="166">
        <v>642</v>
      </c>
      <c r="D958" s="166">
        <v>541</v>
      </c>
      <c r="E958" s="166" t="s">
        <v>1102</v>
      </c>
      <c r="F958" s="166">
        <v>751.44065116284287</v>
      </c>
    </row>
    <row r="959" spans="1:6">
      <c r="A959" s="403">
        <v>2161</v>
      </c>
      <c r="B959" s="403">
        <v>63</v>
      </c>
      <c r="C959" s="166">
        <v>642</v>
      </c>
      <c r="D959" s="166">
        <v>541</v>
      </c>
      <c r="E959" s="166" t="s">
        <v>1102</v>
      </c>
      <c r="F959" s="166">
        <v>751.44065116284287</v>
      </c>
    </row>
    <row r="960" spans="1:6">
      <c r="A960" s="403">
        <v>2162</v>
      </c>
      <c r="B960" s="403">
        <v>63</v>
      </c>
      <c r="C960" s="166">
        <v>642</v>
      </c>
      <c r="D960" s="166">
        <v>541</v>
      </c>
      <c r="E960" s="166" t="s">
        <v>1102</v>
      </c>
      <c r="F960" s="166">
        <v>751.44065116284287</v>
      </c>
    </row>
    <row r="961" spans="1:6">
      <c r="A961" s="403">
        <v>2163</v>
      </c>
      <c r="B961" s="403">
        <v>63</v>
      </c>
      <c r="C961" s="166">
        <v>642</v>
      </c>
      <c r="D961" s="166">
        <v>541</v>
      </c>
      <c r="E961" s="166" t="s">
        <v>1102</v>
      </c>
      <c r="F961" s="166">
        <v>751.44065116284287</v>
      </c>
    </row>
    <row r="962" spans="1:6">
      <c r="A962" s="403">
        <v>2164</v>
      </c>
      <c r="B962" s="403">
        <v>63</v>
      </c>
      <c r="C962" s="166">
        <v>642</v>
      </c>
      <c r="D962" s="166">
        <v>541</v>
      </c>
      <c r="E962" s="166" t="s">
        <v>1102</v>
      </c>
      <c r="F962" s="166">
        <v>751.44065116284287</v>
      </c>
    </row>
    <row r="963" spans="1:6">
      <c r="A963" s="403">
        <v>2165</v>
      </c>
      <c r="B963" s="403">
        <v>63</v>
      </c>
      <c r="C963" s="166">
        <v>642</v>
      </c>
      <c r="D963" s="166">
        <v>541</v>
      </c>
      <c r="E963" s="166" t="s">
        <v>1102</v>
      </c>
      <c r="F963" s="166">
        <v>751.44065116284287</v>
      </c>
    </row>
    <row r="964" spans="1:6">
      <c r="A964" s="403">
        <v>2166</v>
      </c>
      <c r="B964" s="403">
        <v>63</v>
      </c>
      <c r="C964" s="166">
        <v>642</v>
      </c>
      <c r="D964" s="166">
        <v>541</v>
      </c>
      <c r="E964" s="166" t="s">
        <v>1102</v>
      </c>
      <c r="F964" s="166">
        <v>751.44065116284287</v>
      </c>
    </row>
    <row r="965" spans="1:6">
      <c r="A965" s="403">
        <v>2167</v>
      </c>
      <c r="B965" s="403">
        <v>63</v>
      </c>
      <c r="C965" s="166">
        <v>642</v>
      </c>
      <c r="D965" s="166">
        <v>541</v>
      </c>
      <c r="E965" s="166" t="s">
        <v>1102</v>
      </c>
      <c r="F965" s="166">
        <v>751.44065116284287</v>
      </c>
    </row>
    <row r="966" spans="1:6">
      <c r="A966" s="403">
        <v>2168</v>
      </c>
      <c r="B966" s="403">
        <v>63</v>
      </c>
      <c r="C966" s="166">
        <v>642</v>
      </c>
      <c r="D966" s="166">
        <v>541</v>
      </c>
      <c r="E966" s="166" t="s">
        <v>1102</v>
      </c>
      <c r="F966" s="166">
        <v>751.44065116284287</v>
      </c>
    </row>
    <row r="967" spans="1:6">
      <c r="A967" s="403">
        <v>2169</v>
      </c>
      <c r="B967" s="403">
        <v>63</v>
      </c>
      <c r="C967" s="166">
        <v>642</v>
      </c>
      <c r="D967" s="166">
        <v>541</v>
      </c>
      <c r="E967" s="166" t="s">
        <v>1102</v>
      </c>
      <c r="F967" s="166">
        <v>751.44065116284287</v>
      </c>
    </row>
    <row r="968" spans="1:6">
      <c r="A968" s="403">
        <v>2170</v>
      </c>
      <c r="B968" s="403">
        <v>63</v>
      </c>
      <c r="C968" s="166">
        <v>642</v>
      </c>
      <c r="D968" s="166">
        <v>541</v>
      </c>
      <c r="E968" s="166" t="s">
        <v>1102</v>
      </c>
      <c r="F968" s="166">
        <v>751.44065116284287</v>
      </c>
    </row>
    <row r="969" spans="1:6">
      <c r="A969" s="403">
        <v>2171</v>
      </c>
      <c r="B969" s="403">
        <v>63</v>
      </c>
      <c r="C969" s="166">
        <v>642</v>
      </c>
      <c r="D969" s="166">
        <v>541</v>
      </c>
      <c r="E969" s="166" t="s">
        <v>1102</v>
      </c>
      <c r="F969" s="166">
        <v>751.44065116284287</v>
      </c>
    </row>
    <row r="970" spans="1:6">
      <c r="A970" s="403">
        <v>2173</v>
      </c>
      <c r="B970" s="403">
        <v>63</v>
      </c>
      <c r="C970" s="166">
        <v>642</v>
      </c>
      <c r="D970" s="166">
        <v>541</v>
      </c>
      <c r="E970" s="166" t="s">
        <v>1102</v>
      </c>
      <c r="F970" s="166">
        <v>751.44065116284287</v>
      </c>
    </row>
    <row r="971" spans="1:6">
      <c r="A971" s="403">
        <v>2174</v>
      </c>
      <c r="B971" s="403">
        <v>63</v>
      </c>
      <c r="C971" s="166">
        <v>642</v>
      </c>
      <c r="D971" s="166">
        <v>541</v>
      </c>
      <c r="E971" s="166" t="s">
        <v>1102</v>
      </c>
      <c r="F971" s="166">
        <v>751.44065116284287</v>
      </c>
    </row>
    <row r="972" spans="1:6">
      <c r="A972" s="403">
        <v>2176</v>
      </c>
      <c r="B972" s="403">
        <v>63</v>
      </c>
      <c r="C972" s="166">
        <v>642</v>
      </c>
      <c r="D972" s="166">
        <v>541</v>
      </c>
      <c r="E972" s="166" t="s">
        <v>1102</v>
      </c>
      <c r="F972" s="166">
        <v>751.44065116284287</v>
      </c>
    </row>
    <row r="973" spans="1:6">
      <c r="A973" s="403">
        <v>2177</v>
      </c>
      <c r="B973" s="403">
        <v>63</v>
      </c>
      <c r="C973" s="166">
        <v>642</v>
      </c>
      <c r="D973" s="166">
        <v>541</v>
      </c>
      <c r="E973" s="166" t="s">
        <v>1102</v>
      </c>
      <c r="F973" s="166">
        <v>751.44065116284287</v>
      </c>
    </row>
    <row r="974" spans="1:6">
      <c r="A974" s="403">
        <v>2190</v>
      </c>
      <c r="B974" s="403">
        <v>63</v>
      </c>
      <c r="C974" s="166">
        <v>642</v>
      </c>
      <c r="D974" s="166">
        <v>541</v>
      </c>
      <c r="E974" s="166" t="s">
        <v>1102</v>
      </c>
      <c r="F974" s="166">
        <v>751.44065116284287</v>
      </c>
    </row>
    <row r="975" spans="1:6">
      <c r="A975" s="403">
        <v>2191</v>
      </c>
      <c r="B975" s="403">
        <v>63</v>
      </c>
      <c r="C975" s="166">
        <v>642</v>
      </c>
      <c r="D975" s="166">
        <v>541</v>
      </c>
      <c r="E975" s="166" t="s">
        <v>1102</v>
      </c>
      <c r="F975" s="166">
        <v>751.44065116284287</v>
      </c>
    </row>
    <row r="976" spans="1:6">
      <c r="A976" s="403">
        <v>2192</v>
      </c>
      <c r="B976" s="403">
        <v>63</v>
      </c>
      <c r="C976" s="166">
        <v>642</v>
      </c>
      <c r="D976" s="166">
        <v>541</v>
      </c>
      <c r="E976" s="166" t="s">
        <v>1102</v>
      </c>
      <c r="F976" s="166">
        <v>751.44065116284287</v>
      </c>
    </row>
    <row r="977" spans="1:6">
      <c r="A977" s="403">
        <v>2193</v>
      </c>
      <c r="B977" s="403">
        <v>63</v>
      </c>
      <c r="C977" s="166">
        <v>642</v>
      </c>
      <c r="D977" s="166">
        <v>541</v>
      </c>
      <c r="E977" s="166" t="s">
        <v>1102</v>
      </c>
      <c r="F977" s="166">
        <v>751.44065116284287</v>
      </c>
    </row>
    <row r="978" spans="1:6">
      <c r="A978" s="403">
        <v>2194</v>
      </c>
      <c r="B978" s="403">
        <v>63</v>
      </c>
      <c r="C978" s="166">
        <v>642</v>
      </c>
      <c r="D978" s="166">
        <v>541</v>
      </c>
      <c r="E978" s="166" t="s">
        <v>1102</v>
      </c>
      <c r="F978" s="166">
        <v>751.44065116284287</v>
      </c>
    </row>
    <row r="979" spans="1:6">
      <c r="A979" s="403">
        <v>2195</v>
      </c>
      <c r="B979" s="403">
        <v>63</v>
      </c>
      <c r="C979" s="166">
        <v>642</v>
      </c>
      <c r="D979" s="166">
        <v>541</v>
      </c>
      <c r="E979" s="166" t="s">
        <v>1102</v>
      </c>
      <c r="F979" s="166">
        <v>751.44065116284287</v>
      </c>
    </row>
    <row r="980" spans="1:6">
      <c r="A980" s="403">
        <v>2196</v>
      </c>
      <c r="B980" s="403">
        <v>63</v>
      </c>
      <c r="C980" s="166">
        <v>642</v>
      </c>
      <c r="D980" s="166">
        <v>541</v>
      </c>
      <c r="E980" s="166" t="s">
        <v>1102</v>
      </c>
      <c r="F980" s="166">
        <v>751.44065116284287</v>
      </c>
    </row>
    <row r="981" spans="1:6">
      <c r="A981" s="403">
        <v>2197</v>
      </c>
      <c r="B981" s="403">
        <v>63</v>
      </c>
      <c r="C981" s="166">
        <v>642</v>
      </c>
      <c r="D981" s="166">
        <v>541</v>
      </c>
      <c r="E981" s="166" t="s">
        <v>1102</v>
      </c>
      <c r="F981" s="166">
        <v>751.44065116284287</v>
      </c>
    </row>
    <row r="982" spans="1:6">
      <c r="A982" s="403">
        <v>2198</v>
      </c>
      <c r="B982" s="403">
        <v>63</v>
      </c>
      <c r="C982" s="166">
        <v>642</v>
      </c>
      <c r="D982" s="166">
        <v>541</v>
      </c>
      <c r="E982" s="166" t="s">
        <v>1102</v>
      </c>
      <c r="F982" s="166">
        <v>751.44065116284287</v>
      </c>
    </row>
    <row r="983" spans="1:6">
      <c r="A983" s="403">
        <v>2199</v>
      </c>
      <c r="B983" s="403">
        <v>63</v>
      </c>
      <c r="C983" s="166">
        <v>642</v>
      </c>
      <c r="D983" s="166">
        <v>541</v>
      </c>
      <c r="E983" s="166" t="s">
        <v>1102</v>
      </c>
      <c r="F983" s="166">
        <v>751.44065116284287</v>
      </c>
    </row>
    <row r="984" spans="1:6">
      <c r="A984" s="403">
        <v>2200</v>
      </c>
      <c r="B984" s="403">
        <v>63</v>
      </c>
      <c r="C984" s="166">
        <v>642</v>
      </c>
      <c r="D984" s="166">
        <v>541</v>
      </c>
      <c r="E984" s="166" t="s">
        <v>1102</v>
      </c>
      <c r="F984" s="166">
        <v>751.44065116284287</v>
      </c>
    </row>
    <row r="985" spans="1:6">
      <c r="A985" s="403">
        <v>2201</v>
      </c>
      <c r="B985" s="403">
        <v>63</v>
      </c>
      <c r="C985" s="166">
        <v>642</v>
      </c>
      <c r="D985" s="166">
        <v>541</v>
      </c>
      <c r="E985" s="166" t="s">
        <v>1102</v>
      </c>
      <c r="F985" s="166">
        <v>751.44065116284287</v>
      </c>
    </row>
    <row r="986" spans="1:6">
      <c r="A986" s="403">
        <v>2202</v>
      </c>
      <c r="B986" s="403">
        <v>63</v>
      </c>
      <c r="C986" s="166">
        <v>642</v>
      </c>
      <c r="D986" s="166">
        <v>541</v>
      </c>
      <c r="E986" s="166" t="s">
        <v>1102</v>
      </c>
      <c r="F986" s="166">
        <v>751.44065116284287</v>
      </c>
    </row>
    <row r="987" spans="1:6">
      <c r="A987" s="403">
        <v>2203</v>
      </c>
      <c r="B987" s="403">
        <v>63</v>
      </c>
      <c r="C987" s="166">
        <v>642</v>
      </c>
      <c r="D987" s="166">
        <v>541</v>
      </c>
      <c r="E987" s="166" t="s">
        <v>1102</v>
      </c>
      <c r="F987" s="166">
        <v>751.44065116284287</v>
      </c>
    </row>
    <row r="988" spans="1:6">
      <c r="A988" s="403">
        <v>2204</v>
      </c>
      <c r="B988" s="403">
        <v>63</v>
      </c>
      <c r="C988" s="166">
        <v>642</v>
      </c>
      <c r="D988" s="166">
        <v>541</v>
      </c>
      <c r="E988" s="166" t="s">
        <v>1102</v>
      </c>
      <c r="F988" s="166">
        <v>751.44065116284287</v>
      </c>
    </row>
    <row r="989" spans="1:6">
      <c r="A989" s="403">
        <v>2205</v>
      </c>
      <c r="B989" s="403">
        <v>63</v>
      </c>
      <c r="C989" s="166">
        <v>642</v>
      </c>
      <c r="D989" s="166">
        <v>541</v>
      </c>
      <c r="E989" s="166" t="s">
        <v>1102</v>
      </c>
      <c r="F989" s="166">
        <v>751.44065116284287</v>
      </c>
    </row>
    <row r="990" spans="1:6">
      <c r="A990" s="403">
        <v>2206</v>
      </c>
      <c r="B990" s="403">
        <v>63</v>
      </c>
      <c r="C990" s="166">
        <v>642</v>
      </c>
      <c r="D990" s="166">
        <v>541</v>
      </c>
      <c r="E990" s="166" t="s">
        <v>1102</v>
      </c>
      <c r="F990" s="166">
        <v>751.44065116284287</v>
      </c>
    </row>
    <row r="991" spans="1:6">
      <c r="A991" s="403">
        <v>2207</v>
      </c>
      <c r="B991" s="403">
        <v>63</v>
      </c>
      <c r="C991" s="166">
        <v>642</v>
      </c>
      <c r="D991" s="166">
        <v>541</v>
      </c>
      <c r="E991" s="166" t="s">
        <v>1102</v>
      </c>
      <c r="F991" s="166">
        <v>751.44065116284287</v>
      </c>
    </row>
    <row r="992" spans="1:6">
      <c r="A992" s="403">
        <v>2208</v>
      </c>
      <c r="B992" s="403">
        <v>63</v>
      </c>
      <c r="C992" s="166">
        <v>642</v>
      </c>
      <c r="D992" s="166">
        <v>541</v>
      </c>
      <c r="E992" s="166" t="s">
        <v>1102</v>
      </c>
      <c r="F992" s="166">
        <v>751.44065116284287</v>
      </c>
    </row>
    <row r="993" spans="1:6">
      <c r="A993" s="403">
        <v>2209</v>
      </c>
      <c r="B993" s="403">
        <v>63</v>
      </c>
      <c r="C993" s="166">
        <v>642</v>
      </c>
      <c r="D993" s="166">
        <v>541</v>
      </c>
      <c r="E993" s="166" t="s">
        <v>1102</v>
      </c>
      <c r="F993" s="166">
        <v>751.44065116284287</v>
      </c>
    </row>
    <row r="994" spans="1:6">
      <c r="A994" s="403">
        <v>2210</v>
      </c>
      <c r="B994" s="403">
        <v>63</v>
      </c>
      <c r="C994" s="166">
        <v>642</v>
      </c>
      <c r="D994" s="166">
        <v>541</v>
      </c>
      <c r="E994" s="166" t="s">
        <v>1102</v>
      </c>
      <c r="F994" s="166">
        <v>751.44065116284287</v>
      </c>
    </row>
    <row r="995" spans="1:6">
      <c r="A995" s="403">
        <v>2211</v>
      </c>
      <c r="B995" s="403">
        <v>63</v>
      </c>
      <c r="C995" s="166">
        <v>642</v>
      </c>
      <c r="D995" s="166">
        <v>541</v>
      </c>
      <c r="E995" s="166" t="s">
        <v>1102</v>
      </c>
      <c r="F995" s="166">
        <v>751.44065116284287</v>
      </c>
    </row>
    <row r="996" spans="1:6">
      <c r="A996" s="403">
        <v>2212</v>
      </c>
      <c r="B996" s="403">
        <v>63</v>
      </c>
      <c r="C996" s="166">
        <v>642</v>
      </c>
      <c r="D996" s="166">
        <v>541</v>
      </c>
      <c r="E996" s="166" t="s">
        <v>1102</v>
      </c>
      <c r="F996" s="166">
        <v>751.44065116284287</v>
      </c>
    </row>
    <row r="997" spans="1:6">
      <c r="A997" s="403">
        <v>2213</v>
      </c>
      <c r="B997" s="403">
        <v>63</v>
      </c>
      <c r="C997" s="166">
        <v>642</v>
      </c>
      <c r="D997" s="166">
        <v>541</v>
      </c>
      <c r="E997" s="166" t="s">
        <v>1102</v>
      </c>
      <c r="F997" s="166">
        <v>751.44065116284287</v>
      </c>
    </row>
    <row r="998" spans="1:6">
      <c r="A998" s="403">
        <v>2214</v>
      </c>
      <c r="B998" s="403">
        <v>63</v>
      </c>
      <c r="C998" s="166">
        <v>642</v>
      </c>
      <c r="D998" s="166">
        <v>541</v>
      </c>
      <c r="E998" s="166" t="s">
        <v>1102</v>
      </c>
      <c r="F998" s="166">
        <v>751.44065116284287</v>
      </c>
    </row>
    <row r="999" spans="1:6">
      <c r="A999" s="403">
        <v>2215</v>
      </c>
      <c r="B999" s="403">
        <v>63</v>
      </c>
      <c r="C999" s="166">
        <v>642</v>
      </c>
      <c r="D999" s="166">
        <v>541</v>
      </c>
      <c r="E999" s="166" t="s">
        <v>1102</v>
      </c>
      <c r="F999" s="166">
        <v>751.44065116284287</v>
      </c>
    </row>
    <row r="1000" spans="1:6">
      <c r="A1000" s="403">
        <v>2216</v>
      </c>
      <c r="B1000" s="403">
        <v>63</v>
      </c>
      <c r="C1000" s="166">
        <v>642</v>
      </c>
      <c r="D1000" s="166">
        <v>541</v>
      </c>
      <c r="E1000" s="166" t="s">
        <v>1102</v>
      </c>
      <c r="F1000" s="166">
        <v>751.44065116284287</v>
      </c>
    </row>
    <row r="1001" spans="1:6">
      <c r="A1001" s="403">
        <v>2217</v>
      </c>
      <c r="B1001" s="403">
        <v>63</v>
      </c>
      <c r="C1001" s="166">
        <v>642</v>
      </c>
      <c r="D1001" s="166">
        <v>541</v>
      </c>
      <c r="E1001" s="166" t="s">
        <v>1102</v>
      </c>
      <c r="F1001" s="166">
        <v>751.44065116284287</v>
      </c>
    </row>
    <row r="1002" spans="1:6">
      <c r="A1002" s="403">
        <v>2218</v>
      </c>
      <c r="B1002" s="403">
        <v>63</v>
      </c>
      <c r="C1002" s="166">
        <v>642</v>
      </c>
      <c r="D1002" s="166">
        <v>541</v>
      </c>
      <c r="E1002" s="166" t="s">
        <v>1102</v>
      </c>
      <c r="F1002" s="166">
        <v>751.44065116284287</v>
      </c>
    </row>
    <row r="1003" spans="1:6">
      <c r="A1003" s="403">
        <v>2219</v>
      </c>
      <c r="B1003" s="403">
        <v>63</v>
      </c>
      <c r="C1003" s="166">
        <v>642</v>
      </c>
      <c r="D1003" s="166">
        <v>541</v>
      </c>
      <c r="E1003" s="166" t="s">
        <v>1102</v>
      </c>
      <c r="F1003" s="166">
        <v>751.44065116284287</v>
      </c>
    </row>
    <row r="1004" spans="1:6">
      <c r="A1004" s="403">
        <v>2220</v>
      </c>
      <c r="B1004" s="403">
        <v>63</v>
      </c>
      <c r="C1004" s="166">
        <v>642</v>
      </c>
      <c r="D1004" s="166">
        <v>541</v>
      </c>
      <c r="E1004" s="166" t="s">
        <v>1102</v>
      </c>
      <c r="F1004" s="166">
        <v>751.44065116284287</v>
      </c>
    </row>
    <row r="1005" spans="1:6">
      <c r="A1005" s="403">
        <v>2221</v>
      </c>
      <c r="B1005" s="403">
        <v>63</v>
      </c>
      <c r="C1005" s="166">
        <v>642</v>
      </c>
      <c r="D1005" s="166">
        <v>541</v>
      </c>
      <c r="E1005" s="166" t="s">
        <v>1102</v>
      </c>
      <c r="F1005" s="166">
        <v>751.44065116284287</v>
      </c>
    </row>
    <row r="1006" spans="1:6">
      <c r="A1006" s="403">
        <v>2222</v>
      </c>
      <c r="B1006" s="403">
        <v>63</v>
      </c>
      <c r="C1006" s="166">
        <v>642</v>
      </c>
      <c r="D1006" s="166">
        <v>541</v>
      </c>
      <c r="E1006" s="166" t="s">
        <v>1102</v>
      </c>
      <c r="F1006" s="166">
        <v>751.44065116284287</v>
      </c>
    </row>
    <row r="1007" spans="1:6">
      <c r="A1007" s="403">
        <v>2223</v>
      </c>
      <c r="B1007" s="403">
        <v>63</v>
      </c>
      <c r="C1007" s="166">
        <v>642</v>
      </c>
      <c r="D1007" s="166">
        <v>541</v>
      </c>
      <c r="E1007" s="166" t="s">
        <v>1102</v>
      </c>
      <c r="F1007" s="166">
        <v>751.44065116284287</v>
      </c>
    </row>
    <row r="1008" spans="1:6">
      <c r="A1008" s="403">
        <v>2224</v>
      </c>
      <c r="B1008" s="403">
        <v>63</v>
      </c>
      <c r="C1008" s="166">
        <v>642</v>
      </c>
      <c r="D1008" s="166">
        <v>541</v>
      </c>
      <c r="E1008" s="166" t="s">
        <v>1102</v>
      </c>
      <c r="F1008" s="166">
        <v>751.44065116284287</v>
      </c>
    </row>
    <row r="1009" spans="1:6">
      <c r="A1009" s="403">
        <v>2225</v>
      </c>
      <c r="B1009" s="403">
        <v>63</v>
      </c>
      <c r="C1009" s="166">
        <v>642</v>
      </c>
      <c r="D1009" s="166">
        <v>541</v>
      </c>
      <c r="E1009" s="166" t="s">
        <v>1102</v>
      </c>
      <c r="F1009" s="166">
        <v>751.44065116284287</v>
      </c>
    </row>
    <row r="1010" spans="1:6">
      <c r="A1010" s="403">
        <v>2226</v>
      </c>
      <c r="B1010" s="403">
        <v>63</v>
      </c>
      <c r="C1010" s="166">
        <v>642</v>
      </c>
      <c r="D1010" s="166">
        <v>541</v>
      </c>
      <c r="E1010" s="166" t="s">
        <v>1102</v>
      </c>
      <c r="F1010" s="166">
        <v>751.44065116284287</v>
      </c>
    </row>
    <row r="1011" spans="1:6">
      <c r="A1011" s="403">
        <v>2227</v>
      </c>
      <c r="B1011" s="403">
        <v>63</v>
      </c>
      <c r="C1011" s="166">
        <v>642</v>
      </c>
      <c r="D1011" s="166">
        <v>541</v>
      </c>
      <c r="E1011" s="166" t="s">
        <v>1102</v>
      </c>
      <c r="F1011" s="166">
        <v>751.44065116284287</v>
      </c>
    </row>
    <row r="1012" spans="1:6">
      <c r="A1012" s="403">
        <v>2228</v>
      </c>
      <c r="B1012" s="403">
        <v>63</v>
      </c>
      <c r="C1012" s="166">
        <v>642</v>
      </c>
      <c r="D1012" s="166">
        <v>541</v>
      </c>
      <c r="E1012" s="166" t="s">
        <v>1102</v>
      </c>
      <c r="F1012" s="166">
        <v>751.44065116284287</v>
      </c>
    </row>
    <row r="1013" spans="1:6">
      <c r="A1013" s="403">
        <v>2229</v>
      </c>
      <c r="B1013" s="403">
        <v>63</v>
      </c>
      <c r="C1013" s="166">
        <v>642</v>
      </c>
      <c r="D1013" s="166">
        <v>541</v>
      </c>
      <c r="E1013" s="166" t="s">
        <v>1102</v>
      </c>
      <c r="F1013" s="166">
        <v>751.44065116284287</v>
      </c>
    </row>
    <row r="1014" spans="1:6">
      <c r="A1014" s="403">
        <v>2230</v>
      </c>
      <c r="B1014" s="403">
        <v>63</v>
      </c>
      <c r="C1014" s="166">
        <v>642</v>
      </c>
      <c r="D1014" s="166">
        <v>541</v>
      </c>
      <c r="E1014" s="166" t="s">
        <v>1102</v>
      </c>
      <c r="F1014" s="166">
        <v>751.44065116284287</v>
      </c>
    </row>
    <row r="1015" spans="1:6">
      <c r="A1015" s="403">
        <v>2231</v>
      </c>
      <c r="B1015" s="403">
        <v>63</v>
      </c>
      <c r="C1015" s="166">
        <v>642</v>
      </c>
      <c r="D1015" s="166">
        <v>541</v>
      </c>
      <c r="E1015" s="166" t="s">
        <v>1102</v>
      </c>
      <c r="F1015" s="166">
        <v>751.44065116284287</v>
      </c>
    </row>
    <row r="1016" spans="1:6">
      <c r="A1016" s="403">
        <v>2232</v>
      </c>
      <c r="B1016" s="403">
        <v>63</v>
      </c>
      <c r="C1016" s="166">
        <v>642</v>
      </c>
      <c r="D1016" s="166">
        <v>541</v>
      </c>
      <c r="E1016" s="166" t="s">
        <v>1102</v>
      </c>
      <c r="F1016" s="166">
        <v>751.44065116284287</v>
      </c>
    </row>
    <row r="1017" spans="1:6">
      <c r="A1017" s="403">
        <v>2233</v>
      </c>
      <c r="B1017" s="403">
        <v>63</v>
      </c>
      <c r="C1017" s="166">
        <v>642</v>
      </c>
      <c r="D1017" s="166">
        <v>541</v>
      </c>
      <c r="E1017" s="166" t="s">
        <v>1102</v>
      </c>
      <c r="F1017" s="166">
        <v>751.44065116284287</v>
      </c>
    </row>
    <row r="1018" spans="1:6">
      <c r="A1018" s="403">
        <v>2234</v>
      </c>
      <c r="B1018" s="403">
        <v>63</v>
      </c>
      <c r="C1018" s="166">
        <v>642</v>
      </c>
      <c r="D1018" s="166">
        <v>541</v>
      </c>
      <c r="E1018" s="166" t="s">
        <v>1102</v>
      </c>
      <c r="F1018" s="166">
        <v>751.44065116284287</v>
      </c>
    </row>
    <row r="1019" spans="1:6">
      <c r="A1019" s="403">
        <v>2250</v>
      </c>
      <c r="B1019" s="403">
        <v>61</v>
      </c>
      <c r="C1019" s="166">
        <v>616</v>
      </c>
      <c r="D1019" s="166">
        <v>653</v>
      </c>
      <c r="E1019" s="166" t="s">
        <v>1102</v>
      </c>
      <c r="F1019" s="166">
        <v>661.79028571428785</v>
      </c>
    </row>
    <row r="1020" spans="1:6">
      <c r="A1020" s="403">
        <v>2251</v>
      </c>
      <c r="B1020" s="403">
        <v>61</v>
      </c>
      <c r="C1020" s="166">
        <v>616</v>
      </c>
      <c r="D1020" s="166">
        <v>653</v>
      </c>
      <c r="E1020" s="166" t="s">
        <v>1102</v>
      </c>
      <c r="F1020" s="166">
        <v>661.79028571428785</v>
      </c>
    </row>
    <row r="1021" spans="1:6">
      <c r="A1021" s="403">
        <v>2252</v>
      </c>
      <c r="B1021" s="403">
        <v>61</v>
      </c>
      <c r="C1021" s="166">
        <v>616</v>
      </c>
      <c r="D1021" s="166">
        <v>653</v>
      </c>
      <c r="E1021" s="166" t="s">
        <v>1102</v>
      </c>
      <c r="F1021" s="166">
        <v>661.79028571428785</v>
      </c>
    </row>
    <row r="1022" spans="1:6">
      <c r="A1022" s="403">
        <v>2256</v>
      </c>
      <c r="B1022" s="403">
        <v>61</v>
      </c>
      <c r="C1022" s="166">
        <v>616</v>
      </c>
      <c r="D1022" s="166">
        <v>653</v>
      </c>
      <c r="E1022" s="166" t="s">
        <v>1102</v>
      </c>
      <c r="F1022" s="166">
        <v>661.79028571428785</v>
      </c>
    </row>
    <row r="1023" spans="1:6">
      <c r="A1023" s="403">
        <v>2257</v>
      </c>
      <c r="B1023" s="403">
        <v>61</v>
      </c>
      <c r="C1023" s="166">
        <v>616</v>
      </c>
      <c r="D1023" s="166">
        <v>653</v>
      </c>
      <c r="E1023" s="166" t="s">
        <v>1102</v>
      </c>
      <c r="F1023" s="166">
        <v>661.79028571428785</v>
      </c>
    </row>
    <row r="1024" spans="1:6">
      <c r="A1024" s="403">
        <v>2258</v>
      </c>
      <c r="B1024" s="403">
        <v>61</v>
      </c>
      <c r="C1024" s="166">
        <v>616</v>
      </c>
      <c r="D1024" s="166">
        <v>653</v>
      </c>
      <c r="E1024" s="166" t="s">
        <v>1102</v>
      </c>
      <c r="F1024" s="166">
        <v>661.79028571428785</v>
      </c>
    </row>
    <row r="1025" spans="1:6">
      <c r="A1025" s="403">
        <v>2259</v>
      </c>
      <c r="B1025" s="403">
        <v>61</v>
      </c>
      <c r="C1025" s="166">
        <v>616</v>
      </c>
      <c r="D1025" s="166">
        <v>653</v>
      </c>
      <c r="E1025" s="166" t="s">
        <v>1102</v>
      </c>
      <c r="F1025" s="166">
        <v>661.79028571428785</v>
      </c>
    </row>
    <row r="1026" spans="1:6">
      <c r="A1026" s="403">
        <v>2260</v>
      </c>
      <c r="B1026" s="403">
        <v>61</v>
      </c>
      <c r="C1026" s="166">
        <v>616</v>
      </c>
      <c r="D1026" s="166">
        <v>653</v>
      </c>
      <c r="E1026" s="166" t="s">
        <v>1102</v>
      </c>
      <c r="F1026" s="166">
        <v>661.79028571428785</v>
      </c>
    </row>
    <row r="1027" spans="1:6">
      <c r="A1027" s="403">
        <v>2261</v>
      </c>
      <c r="B1027" s="403">
        <v>61</v>
      </c>
      <c r="C1027" s="166">
        <v>616</v>
      </c>
      <c r="D1027" s="166">
        <v>653</v>
      </c>
      <c r="E1027" s="166" t="s">
        <v>1102</v>
      </c>
      <c r="F1027" s="166">
        <v>661.79028571428785</v>
      </c>
    </row>
    <row r="1028" spans="1:6">
      <c r="A1028" s="403">
        <v>2262</v>
      </c>
      <c r="B1028" s="403">
        <v>61</v>
      </c>
      <c r="C1028" s="166">
        <v>616</v>
      </c>
      <c r="D1028" s="166">
        <v>653</v>
      </c>
      <c r="E1028" s="166" t="s">
        <v>1102</v>
      </c>
      <c r="F1028" s="166">
        <v>661.79028571428785</v>
      </c>
    </row>
    <row r="1029" spans="1:6">
      <c r="A1029" s="403">
        <v>2263</v>
      </c>
      <c r="B1029" s="403">
        <v>61</v>
      </c>
      <c r="C1029" s="166">
        <v>616</v>
      </c>
      <c r="D1029" s="166">
        <v>653</v>
      </c>
      <c r="E1029" s="166" t="s">
        <v>1102</v>
      </c>
      <c r="F1029" s="166">
        <v>661.79028571428785</v>
      </c>
    </row>
    <row r="1030" spans="1:6">
      <c r="A1030" s="403">
        <v>2264</v>
      </c>
      <c r="B1030" s="403">
        <v>61</v>
      </c>
      <c r="C1030" s="166">
        <v>616</v>
      </c>
      <c r="D1030" s="166">
        <v>653</v>
      </c>
      <c r="E1030" s="166" t="s">
        <v>1102</v>
      </c>
      <c r="F1030" s="166">
        <v>661.79028571428785</v>
      </c>
    </row>
    <row r="1031" spans="1:6">
      <c r="A1031" s="403">
        <v>2265</v>
      </c>
      <c r="B1031" s="403">
        <v>61</v>
      </c>
      <c r="C1031" s="166">
        <v>616</v>
      </c>
      <c r="D1031" s="166">
        <v>653</v>
      </c>
      <c r="E1031" s="166" t="s">
        <v>1102</v>
      </c>
      <c r="F1031" s="166">
        <v>661.79028571428785</v>
      </c>
    </row>
    <row r="1032" spans="1:6">
      <c r="A1032" s="403">
        <v>2267</v>
      </c>
      <c r="B1032" s="403">
        <v>61</v>
      </c>
      <c r="C1032" s="166">
        <v>616</v>
      </c>
      <c r="D1032" s="166">
        <v>653</v>
      </c>
      <c r="E1032" s="166" t="s">
        <v>1102</v>
      </c>
      <c r="F1032" s="166">
        <v>661.79028571428785</v>
      </c>
    </row>
    <row r="1033" spans="1:6">
      <c r="A1033" s="403">
        <v>2278</v>
      </c>
      <c r="B1033" s="403">
        <v>61</v>
      </c>
      <c r="C1033" s="166">
        <v>616</v>
      </c>
      <c r="D1033" s="166">
        <v>653</v>
      </c>
      <c r="E1033" s="166" t="s">
        <v>1102</v>
      </c>
      <c r="F1033" s="166">
        <v>661.79028571428785</v>
      </c>
    </row>
    <row r="1034" spans="1:6">
      <c r="A1034" s="403">
        <v>2280</v>
      </c>
      <c r="B1034" s="403">
        <v>61</v>
      </c>
      <c r="C1034" s="166">
        <v>616</v>
      </c>
      <c r="D1034" s="166">
        <v>653</v>
      </c>
      <c r="E1034" s="166" t="s">
        <v>1102</v>
      </c>
      <c r="F1034" s="166">
        <v>661.79028571428785</v>
      </c>
    </row>
    <row r="1035" spans="1:6">
      <c r="A1035" s="403">
        <v>2281</v>
      </c>
      <c r="B1035" s="403">
        <v>61</v>
      </c>
      <c r="C1035" s="166">
        <v>616</v>
      </c>
      <c r="D1035" s="166">
        <v>653</v>
      </c>
      <c r="E1035" s="166" t="s">
        <v>1102</v>
      </c>
      <c r="F1035" s="166">
        <v>661.79028571428785</v>
      </c>
    </row>
    <row r="1036" spans="1:6">
      <c r="A1036" s="403">
        <v>2282</v>
      </c>
      <c r="B1036" s="403">
        <v>61</v>
      </c>
      <c r="C1036" s="166">
        <v>616</v>
      </c>
      <c r="D1036" s="166">
        <v>653</v>
      </c>
      <c r="E1036" s="166" t="s">
        <v>1102</v>
      </c>
      <c r="F1036" s="166">
        <v>661.79028571428785</v>
      </c>
    </row>
    <row r="1037" spans="1:6">
      <c r="A1037" s="403">
        <v>2283</v>
      </c>
      <c r="B1037" s="403">
        <v>61</v>
      </c>
      <c r="C1037" s="166">
        <v>616</v>
      </c>
      <c r="D1037" s="166">
        <v>653</v>
      </c>
      <c r="E1037" s="166" t="s">
        <v>1102</v>
      </c>
      <c r="F1037" s="166">
        <v>661.79028571428785</v>
      </c>
    </row>
    <row r="1038" spans="1:6">
      <c r="A1038" s="403">
        <v>2284</v>
      </c>
      <c r="B1038" s="403">
        <v>61</v>
      </c>
      <c r="C1038" s="166">
        <v>616</v>
      </c>
      <c r="D1038" s="166">
        <v>653</v>
      </c>
      <c r="E1038" s="166" t="s">
        <v>1102</v>
      </c>
      <c r="F1038" s="166">
        <v>661.79028571428785</v>
      </c>
    </row>
    <row r="1039" spans="1:6">
      <c r="A1039" s="403">
        <v>2285</v>
      </c>
      <c r="B1039" s="403">
        <v>61</v>
      </c>
      <c r="C1039" s="166">
        <v>616</v>
      </c>
      <c r="D1039" s="166">
        <v>653</v>
      </c>
      <c r="E1039" s="166" t="s">
        <v>1102</v>
      </c>
      <c r="F1039" s="166">
        <v>661.79028571428785</v>
      </c>
    </row>
    <row r="1040" spans="1:6">
      <c r="A1040" s="403">
        <v>2286</v>
      </c>
      <c r="B1040" s="403">
        <v>61</v>
      </c>
      <c r="C1040" s="166">
        <v>616</v>
      </c>
      <c r="D1040" s="166">
        <v>653</v>
      </c>
      <c r="E1040" s="166" t="s">
        <v>1102</v>
      </c>
      <c r="F1040" s="166">
        <v>661.79028571428785</v>
      </c>
    </row>
    <row r="1041" spans="1:6">
      <c r="A1041" s="403">
        <v>2287</v>
      </c>
      <c r="B1041" s="403">
        <v>61</v>
      </c>
      <c r="C1041" s="166">
        <v>616</v>
      </c>
      <c r="D1041" s="166">
        <v>653</v>
      </c>
      <c r="E1041" s="166" t="s">
        <v>1102</v>
      </c>
      <c r="F1041" s="166">
        <v>661.79028571428785</v>
      </c>
    </row>
    <row r="1042" spans="1:6">
      <c r="A1042" s="403">
        <v>2289</v>
      </c>
      <c r="B1042" s="403">
        <v>61</v>
      </c>
      <c r="C1042" s="166">
        <v>616</v>
      </c>
      <c r="D1042" s="166">
        <v>653</v>
      </c>
      <c r="E1042" s="166" t="s">
        <v>1102</v>
      </c>
      <c r="F1042" s="166">
        <v>661.79028571428785</v>
      </c>
    </row>
    <row r="1043" spans="1:6">
      <c r="A1043" s="403">
        <v>2290</v>
      </c>
      <c r="B1043" s="403">
        <v>61</v>
      </c>
      <c r="C1043" s="166">
        <v>616</v>
      </c>
      <c r="D1043" s="166">
        <v>653</v>
      </c>
      <c r="E1043" s="166" t="s">
        <v>1102</v>
      </c>
      <c r="F1043" s="166">
        <v>661.79028571428785</v>
      </c>
    </row>
    <row r="1044" spans="1:6">
      <c r="A1044" s="403">
        <v>2291</v>
      </c>
      <c r="B1044" s="403">
        <v>61</v>
      </c>
      <c r="C1044" s="166">
        <v>616</v>
      </c>
      <c r="D1044" s="166">
        <v>653</v>
      </c>
      <c r="E1044" s="166" t="s">
        <v>1102</v>
      </c>
      <c r="F1044" s="166">
        <v>661.79028571428785</v>
      </c>
    </row>
    <row r="1045" spans="1:6">
      <c r="A1045" s="403">
        <v>2292</v>
      </c>
      <c r="B1045" s="403">
        <v>61</v>
      </c>
      <c r="C1045" s="166">
        <v>616</v>
      </c>
      <c r="D1045" s="166">
        <v>653</v>
      </c>
      <c r="E1045" s="166" t="s">
        <v>1102</v>
      </c>
      <c r="F1045" s="166">
        <v>661.79028571428785</v>
      </c>
    </row>
    <row r="1046" spans="1:6">
      <c r="A1046" s="403">
        <v>2293</v>
      </c>
      <c r="B1046" s="403">
        <v>61</v>
      </c>
      <c r="C1046" s="166">
        <v>616</v>
      </c>
      <c r="D1046" s="166">
        <v>653</v>
      </c>
      <c r="E1046" s="166" t="s">
        <v>1102</v>
      </c>
      <c r="F1046" s="166">
        <v>661.79028571428785</v>
      </c>
    </row>
    <row r="1047" spans="1:6">
      <c r="A1047" s="403">
        <v>2294</v>
      </c>
      <c r="B1047" s="403">
        <v>61</v>
      </c>
      <c r="C1047" s="166">
        <v>616</v>
      </c>
      <c r="D1047" s="166">
        <v>653</v>
      </c>
      <c r="E1047" s="166" t="s">
        <v>1102</v>
      </c>
      <c r="F1047" s="166">
        <v>661.79028571428785</v>
      </c>
    </row>
    <row r="1048" spans="1:6">
      <c r="A1048" s="403">
        <v>2295</v>
      </c>
      <c r="B1048" s="403">
        <v>61</v>
      </c>
      <c r="C1048" s="166">
        <v>616</v>
      </c>
      <c r="D1048" s="166">
        <v>653</v>
      </c>
      <c r="E1048" s="166" t="s">
        <v>1102</v>
      </c>
      <c r="F1048" s="166">
        <v>661.79028571428785</v>
      </c>
    </row>
    <row r="1049" spans="1:6">
      <c r="A1049" s="403">
        <v>2296</v>
      </c>
      <c r="B1049" s="403">
        <v>61</v>
      </c>
      <c r="C1049" s="166">
        <v>616</v>
      </c>
      <c r="D1049" s="166">
        <v>653</v>
      </c>
      <c r="E1049" s="166" t="s">
        <v>1102</v>
      </c>
      <c r="F1049" s="166">
        <v>661.79028571428785</v>
      </c>
    </row>
    <row r="1050" spans="1:6">
      <c r="A1050" s="403">
        <v>2297</v>
      </c>
      <c r="B1050" s="403">
        <v>61</v>
      </c>
      <c r="C1050" s="166">
        <v>616</v>
      </c>
      <c r="D1050" s="166">
        <v>653</v>
      </c>
      <c r="E1050" s="166" t="s">
        <v>1102</v>
      </c>
      <c r="F1050" s="166">
        <v>661.79028571428785</v>
      </c>
    </row>
    <row r="1051" spans="1:6">
      <c r="A1051" s="403">
        <v>2298</v>
      </c>
      <c r="B1051" s="403">
        <v>61</v>
      </c>
      <c r="C1051" s="166">
        <v>616</v>
      </c>
      <c r="D1051" s="166">
        <v>653</v>
      </c>
      <c r="E1051" s="166" t="s">
        <v>1102</v>
      </c>
      <c r="F1051" s="166">
        <v>661.79028571428785</v>
      </c>
    </row>
    <row r="1052" spans="1:6">
      <c r="A1052" s="403">
        <v>2299</v>
      </c>
      <c r="B1052" s="403">
        <v>61</v>
      </c>
      <c r="C1052" s="166">
        <v>616</v>
      </c>
      <c r="D1052" s="166">
        <v>653</v>
      </c>
      <c r="E1052" s="166" t="s">
        <v>1102</v>
      </c>
      <c r="F1052" s="166">
        <v>661.79028571428785</v>
      </c>
    </row>
    <row r="1053" spans="1:6">
      <c r="A1053" s="403">
        <v>2300</v>
      </c>
      <c r="B1053" s="403">
        <v>61</v>
      </c>
      <c r="C1053" s="166">
        <v>616</v>
      </c>
      <c r="D1053" s="166">
        <v>653</v>
      </c>
      <c r="E1053" s="166" t="s">
        <v>1102</v>
      </c>
      <c r="F1053" s="166">
        <v>661.79028571428785</v>
      </c>
    </row>
    <row r="1054" spans="1:6">
      <c r="A1054" s="403">
        <v>2302</v>
      </c>
      <c r="B1054" s="403">
        <v>61</v>
      </c>
      <c r="C1054" s="166">
        <v>616</v>
      </c>
      <c r="D1054" s="166">
        <v>653</v>
      </c>
      <c r="E1054" s="166" t="s">
        <v>1102</v>
      </c>
      <c r="F1054" s="166">
        <v>661.79028571428785</v>
      </c>
    </row>
    <row r="1055" spans="1:6">
      <c r="A1055" s="403">
        <v>2303</v>
      </c>
      <c r="B1055" s="403">
        <v>61</v>
      </c>
      <c r="C1055" s="166">
        <v>616</v>
      </c>
      <c r="D1055" s="166">
        <v>653</v>
      </c>
      <c r="E1055" s="166" t="s">
        <v>1102</v>
      </c>
      <c r="F1055" s="166">
        <v>661.79028571428785</v>
      </c>
    </row>
    <row r="1056" spans="1:6">
      <c r="A1056" s="403">
        <v>2304</v>
      </c>
      <c r="B1056" s="403">
        <v>61</v>
      </c>
      <c r="C1056" s="166">
        <v>616</v>
      </c>
      <c r="D1056" s="166">
        <v>653</v>
      </c>
      <c r="E1056" s="166" t="s">
        <v>1102</v>
      </c>
      <c r="F1056" s="166">
        <v>661.79028571428785</v>
      </c>
    </row>
    <row r="1057" spans="1:6">
      <c r="A1057" s="403">
        <v>2305</v>
      </c>
      <c r="B1057" s="403">
        <v>61</v>
      </c>
      <c r="C1057" s="166">
        <v>616</v>
      </c>
      <c r="D1057" s="166">
        <v>653</v>
      </c>
      <c r="E1057" s="166" t="s">
        <v>1102</v>
      </c>
      <c r="F1057" s="166">
        <v>661.79028571428785</v>
      </c>
    </row>
    <row r="1058" spans="1:6">
      <c r="A1058" s="403">
        <v>2306</v>
      </c>
      <c r="B1058" s="403">
        <v>61</v>
      </c>
      <c r="C1058" s="166">
        <v>616</v>
      </c>
      <c r="D1058" s="166">
        <v>653</v>
      </c>
      <c r="E1058" s="166" t="s">
        <v>1102</v>
      </c>
      <c r="F1058" s="166">
        <v>661.79028571428785</v>
      </c>
    </row>
    <row r="1059" spans="1:6">
      <c r="A1059" s="403">
        <v>2307</v>
      </c>
      <c r="B1059" s="403">
        <v>61</v>
      </c>
      <c r="C1059" s="166">
        <v>616</v>
      </c>
      <c r="D1059" s="166">
        <v>653</v>
      </c>
      <c r="E1059" s="166" t="s">
        <v>1102</v>
      </c>
      <c r="F1059" s="166">
        <v>661.79028571428785</v>
      </c>
    </row>
    <row r="1060" spans="1:6">
      <c r="A1060" s="403">
        <v>2308</v>
      </c>
      <c r="B1060" s="403">
        <v>61</v>
      </c>
      <c r="C1060" s="166">
        <v>616</v>
      </c>
      <c r="D1060" s="166">
        <v>653</v>
      </c>
      <c r="E1060" s="166" t="s">
        <v>1102</v>
      </c>
      <c r="F1060" s="166">
        <v>661.79028571428785</v>
      </c>
    </row>
    <row r="1061" spans="1:6">
      <c r="A1061" s="403">
        <v>2309</v>
      </c>
      <c r="B1061" s="403">
        <v>61</v>
      </c>
      <c r="C1061" s="166">
        <v>616</v>
      </c>
      <c r="D1061" s="166">
        <v>653</v>
      </c>
      <c r="E1061" s="166" t="s">
        <v>1102</v>
      </c>
      <c r="F1061" s="166">
        <v>661.79028571428785</v>
      </c>
    </row>
    <row r="1062" spans="1:6">
      <c r="A1062" s="403">
        <v>2310</v>
      </c>
      <c r="B1062" s="403">
        <v>61</v>
      </c>
      <c r="C1062" s="166">
        <v>616</v>
      </c>
      <c r="D1062" s="166">
        <v>653</v>
      </c>
      <c r="E1062" s="166" t="s">
        <v>1102</v>
      </c>
      <c r="F1062" s="166">
        <v>661.79028571428785</v>
      </c>
    </row>
    <row r="1063" spans="1:6">
      <c r="A1063" s="403">
        <v>2311</v>
      </c>
      <c r="B1063" s="403">
        <v>61</v>
      </c>
      <c r="C1063" s="166">
        <v>616</v>
      </c>
      <c r="D1063" s="166">
        <v>653</v>
      </c>
      <c r="E1063" s="166" t="s">
        <v>1102</v>
      </c>
      <c r="F1063" s="166">
        <v>661.79028571428785</v>
      </c>
    </row>
    <row r="1064" spans="1:6">
      <c r="A1064" s="403">
        <v>2312</v>
      </c>
      <c r="B1064" s="403">
        <v>61</v>
      </c>
      <c r="C1064" s="166">
        <v>616</v>
      </c>
      <c r="D1064" s="166">
        <v>653</v>
      </c>
      <c r="E1064" s="166" t="s">
        <v>1102</v>
      </c>
      <c r="F1064" s="166">
        <v>661.79028571428785</v>
      </c>
    </row>
    <row r="1065" spans="1:6">
      <c r="A1065" s="403">
        <v>2314</v>
      </c>
      <c r="B1065" s="403">
        <v>61</v>
      </c>
      <c r="C1065" s="166">
        <v>616</v>
      </c>
      <c r="D1065" s="166">
        <v>653</v>
      </c>
      <c r="E1065" s="166" t="s">
        <v>1102</v>
      </c>
      <c r="F1065" s="166">
        <v>661.79028571428785</v>
      </c>
    </row>
    <row r="1066" spans="1:6">
      <c r="A1066" s="403">
        <v>2315</v>
      </c>
      <c r="B1066" s="403">
        <v>61</v>
      </c>
      <c r="C1066" s="166">
        <v>616</v>
      </c>
      <c r="D1066" s="166">
        <v>653</v>
      </c>
      <c r="E1066" s="166" t="s">
        <v>1102</v>
      </c>
      <c r="F1066" s="166">
        <v>661.79028571428785</v>
      </c>
    </row>
    <row r="1067" spans="1:6">
      <c r="A1067" s="403">
        <v>2316</v>
      </c>
      <c r="B1067" s="403">
        <v>61</v>
      </c>
      <c r="C1067" s="166">
        <v>616</v>
      </c>
      <c r="D1067" s="166">
        <v>653</v>
      </c>
      <c r="E1067" s="166" t="s">
        <v>1102</v>
      </c>
      <c r="F1067" s="166">
        <v>661.79028571428785</v>
      </c>
    </row>
    <row r="1068" spans="1:6">
      <c r="A1068" s="403">
        <v>2317</v>
      </c>
      <c r="B1068" s="403">
        <v>61</v>
      </c>
      <c r="C1068" s="166">
        <v>616</v>
      </c>
      <c r="D1068" s="166">
        <v>653</v>
      </c>
      <c r="E1068" s="166" t="s">
        <v>1102</v>
      </c>
      <c r="F1068" s="166">
        <v>661.79028571428785</v>
      </c>
    </row>
    <row r="1069" spans="1:6">
      <c r="A1069" s="403">
        <v>2318</v>
      </c>
      <c r="B1069" s="403">
        <v>61</v>
      </c>
      <c r="C1069" s="166">
        <v>616</v>
      </c>
      <c r="D1069" s="166">
        <v>653</v>
      </c>
      <c r="E1069" s="166" t="s">
        <v>1102</v>
      </c>
      <c r="F1069" s="166">
        <v>661.79028571428785</v>
      </c>
    </row>
    <row r="1070" spans="1:6">
      <c r="A1070" s="403">
        <v>2319</v>
      </c>
      <c r="B1070" s="403">
        <v>61</v>
      </c>
      <c r="C1070" s="166">
        <v>616</v>
      </c>
      <c r="D1070" s="166">
        <v>653</v>
      </c>
      <c r="E1070" s="166" t="s">
        <v>1102</v>
      </c>
      <c r="F1070" s="166">
        <v>661.79028571428785</v>
      </c>
    </row>
    <row r="1071" spans="1:6">
      <c r="A1071" s="403">
        <v>2320</v>
      </c>
      <c r="B1071" s="403">
        <v>61</v>
      </c>
      <c r="C1071" s="166">
        <v>616</v>
      </c>
      <c r="D1071" s="166">
        <v>653</v>
      </c>
      <c r="E1071" s="166" t="s">
        <v>1102</v>
      </c>
      <c r="F1071" s="166">
        <v>661.79028571428785</v>
      </c>
    </row>
    <row r="1072" spans="1:6">
      <c r="A1072" s="403">
        <v>2321</v>
      </c>
      <c r="B1072" s="403">
        <v>61</v>
      </c>
      <c r="C1072" s="166">
        <v>616</v>
      </c>
      <c r="D1072" s="166">
        <v>653</v>
      </c>
      <c r="E1072" s="166" t="s">
        <v>1102</v>
      </c>
      <c r="F1072" s="166">
        <v>661.79028571428785</v>
      </c>
    </row>
    <row r="1073" spans="1:6">
      <c r="A1073" s="403">
        <v>2322</v>
      </c>
      <c r="B1073" s="403">
        <v>61</v>
      </c>
      <c r="C1073" s="166">
        <v>616</v>
      </c>
      <c r="D1073" s="166">
        <v>653</v>
      </c>
      <c r="E1073" s="166" t="s">
        <v>1102</v>
      </c>
      <c r="F1073" s="166">
        <v>661.79028571428785</v>
      </c>
    </row>
    <row r="1074" spans="1:6">
      <c r="A1074" s="403">
        <v>2323</v>
      </c>
      <c r="B1074" s="403">
        <v>61</v>
      </c>
      <c r="C1074" s="166">
        <v>616</v>
      </c>
      <c r="D1074" s="166">
        <v>653</v>
      </c>
      <c r="E1074" s="166" t="s">
        <v>1102</v>
      </c>
      <c r="F1074" s="166">
        <v>661.79028571428785</v>
      </c>
    </row>
    <row r="1075" spans="1:6">
      <c r="A1075" s="403">
        <v>2324</v>
      </c>
      <c r="B1075" s="403">
        <v>61</v>
      </c>
      <c r="C1075" s="166">
        <v>616</v>
      </c>
      <c r="D1075" s="166">
        <v>653</v>
      </c>
      <c r="E1075" s="166" t="s">
        <v>1102</v>
      </c>
      <c r="F1075" s="166">
        <v>661.79028571428785</v>
      </c>
    </row>
    <row r="1076" spans="1:6">
      <c r="A1076" s="403">
        <v>2325</v>
      </c>
      <c r="B1076" s="403">
        <v>61</v>
      </c>
      <c r="C1076" s="166">
        <v>616</v>
      </c>
      <c r="D1076" s="166">
        <v>653</v>
      </c>
      <c r="E1076" s="166" t="s">
        <v>1102</v>
      </c>
      <c r="F1076" s="166">
        <v>661.79028571428785</v>
      </c>
    </row>
    <row r="1077" spans="1:6">
      <c r="A1077" s="403">
        <v>2326</v>
      </c>
      <c r="B1077" s="403">
        <v>61</v>
      </c>
      <c r="C1077" s="166">
        <v>616</v>
      </c>
      <c r="D1077" s="166">
        <v>653</v>
      </c>
      <c r="E1077" s="166" t="s">
        <v>1102</v>
      </c>
      <c r="F1077" s="166">
        <v>661.79028571428785</v>
      </c>
    </row>
    <row r="1078" spans="1:6">
      <c r="A1078" s="403">
        <v>2327</v>
      </c>
      <c r="B1078" s="403">
        <v>61</v>
      </c>
      <c r="C1078" s="166">
        <v>616</v>
      </c>
      <c r="D1078" s="166">
        <v>653</v>
      </c>
      <c r="E1078" s="166" t="s">
        <v>1102</v>
      </c>
      <c r="F1078" s="166">
        <v>661.79028571428785</v>
      </c>
    </row>
    <row r="1079" spans="1:6">
      <c r="A1079" s="403">
        <v>2328</v>
      </c>
      <c r="B1079" s="403">
        <v>61</v>
      </c>
      <c r="C1079" s="166">
        <v>616</v>
      </c>
      <c r="D1079" s="166">
        <v>653</v>
      </c>
      <c r="E1079" s="166" t="s">
        <v>1102</v>
      </c>
      <c r="F1079" s="166">
        <v>661.79028571428785</v>
      </c>
    </row>
    <row r="1080" spans="1:6">
      <c r="A1080" s="403">
        <v>2329</v>
      </c>
      <c r="B1080" s="403">
        <v>61</v>
      </c>
      <c r="C1080" s="166">
        <v>616</v>
      </c>
      <c r="D1080" s="166">
        <v>653</v>
      </c>
      <c r="E1080" s="166" t="s">
        <v>1102</v>
      </c>
      <c r="F1080" s="166">
        <v>661.79028571428785</v>
      </c>
    </row>
    <row r="1081" spans="1:6">
      <c r="A1081" s="403">
        <v>2330</v>
      </c>
      <c r="B1081" s="403">
        <v>61</v>
      </c>
      <c r="C1081" s="166">
        <v>616</v>
      </c>
      <c r="D1081" s="166">
        <v>653</v>
      </c>
      <c r="E1081" s="166" t="s">
        <v>1102</v>
      </c>
      <c r="F1081" s="166">
        <v>661.79028571428785</v>
      </c>
    </row>
    <row r="1082" spans="1:6">
      <c r="A1082" s="403">
        <v>2331</v>
      </c>
      <c r="B1082" s="403">
        <v>61</v>
      </c>
      <c r="C1082" s="166">
        <v>616</v>
      </c>
      <c r="D1082" s="166">
        <v>653</v>
      </c>
      <c r="E1082" s="166" t="s">
        <v>1102</v>
      </c>
      <c r="F1082" s="166">
        <v>661.79028571428785</v>
      </c>
    </row>
    <row r="1083" spans="1:6">
      <c r="A1083" s="403">
        <v>2333</v>
      </c>
      <c r="B1083" s="403">
        <v>61</v>
      </c>
      <c r="C1083" s="166">
        <v>616</v>
      </c>
      <c r="D1083" s="166">
        <v>653</v>
      </c>
      <c r="E1083" s="166" t="s">
        <v>1102</v>
      </c>
      <c r="F1083" s="166">
        <v>661.79028571428785</v>
      </c>
    </row>
    <row r="1084" spans="1:6">
      <c r="A1084" s="403">
        <v>2334</v>
      </c>
      <c r="B1084" s="403">
        <v>61</v>
      </c>
      <c r="C1084" s="166">
        <v>616</v>
      </c>
      <c r="D1084" s="166">
        <v>653</v>
      </c>
      <c r="E1084" s="166" t="s">
        <v>1102</v>
      </c>
      <c r="F1084" s="166">
        <v>661.79028571428785</v>
      </c>
    </row>
    <row r="1085" spans="1:6">
      <c r="A1085" s="403">
        <v>2335</v>
      </c>
      <c r="B1085" s="403">
        <v>61</v>
      </c>
      <c r="C1085" s="166">
        <v>616</v>
      </c>
      <c r="D1085" s="166">
        <v>653</v>
      </c>
      <c r="E1085" s="166" t="s">
        <v>1102</v>
      </c>
      <c r="F1085" s="166">
        <v>661.79028571428785</v>
      </c>
    </row>
    <row r="1086" spans="1:6">
      <c r="A1086" s="403">
        <v>2336</v>
      </c>
      <c r="B1086" s="403">
        <v>61</v>
      </c>
      <c r="C1086" s="166">
        <v>616</v>
      </c>
      <c r="D1086" s="166">
        <v>653</v>
      </c>
      <c r="E1086" s="166" t="s">
        <v>1102</v>
      </c>
      <c r="F1086" s="166">
        <v>661.79028571428785</v>
      </c>
    </row>
    <row r="1087" spans="1:6">
      <c r="A1087" s="403">
        <v>2337</v>
      </c>
      <c r="B1087" s="403">
        <v>61</v>
      </c>
      <c r="C1087" s="166">
        <v>616</v>
      </c>
      <c r="D1087" s="166">
        <v>653</v>
      </c>
      <c r="E1087" s="166" t="s">
        <v>1102</v>
      </c>
      <c r="F1087" s="166">
        <v>661.79028571428785</v>
      </c>
    </row>
    <row r="1088" spans="1:6">
      <c r="A1088" s="403">
        <v>2338</v>
      </c>
      <c r="B1088" s="403">
        <v>61</v>
      </c>
      <c r="C1088" s="166">
        <v>616</v>
      </c>
      <c r="D1088" s="166">
        <v>653</v>
      </c>
      <c r="E1088" s="166" t="s">
        <v>1102</v>
      </c>
      <c r="F1088" s="166">
        <v>661.79028571428785</v>
      </c>
    </row>
    <row r="1089" spans="1:6">
      <c r="A1089" s="403">
        <v>2339</v>
      </c>
      <c r="B1089" s="403">
        <v>61</v>
      </c>
      <c r="C1089" s="166">
        <v>616</v>
      </c>
      <c r="D1089" s="166">
        <v>653</v>
      </c>
      <c r="E1089" s="166" t="s">
        <v>1102</v>
      </c>
      <c r="F1089" s="166">
        <v>661.79028571428785</v>
      </c>
    </row>
    <row r="1090" spans="1:6">
      <c r="A1090" s="403">
        <v>2340</v>
      </c>
      <c r="B1090" s="403">
        <v>55</v>
      </c>
      <c r="C1090" s="166">
        <v>944</v>
      </c>
      <c r="D1090" s="166">
        <v>470</v>
      </c>
      <c r="E1090" s="166" t="s">
        <v>1102</v>
      </c>
      <c r="F1090" s="166">
        <v>1249.7389584575644</v>
      </c>
    </row>
    <row r="1091" spans="1:6">
      <c r="A1091" s="403">
        <v>2341</v>
      </c>
      <c r="B1091" s="403">
        <v>55</v>
      </c>
      <c r="C1091" s="166">
        <v>944</v>
      </c>
      <c r="D1091" s="166">
        <v>470</v>
      </c>
      <c r="E1091" s="166" t="s">
        <v>1102</v>
      </c>
      <c r="F1091" s="166">
        <v>1249.7389584575644</v>
      </c>
    </row>
    <row r="1092" spans="1:6">
      <c r="A1092" s="403">
        <v>2342</v>
      </c>
      <c r="B1092" s="403">
        <v>55</v>
      </c>
      <c r="C1092" s="166">
        <v>944</v>
      </c>
      <c r="D1092" s="166">
        <v>470</v>
      </c>
      <c r="E1092" s="166" t="s">
        <v>1102</v>
      </c>
      <c r="F1092" s="166">
        <v>1249.7389584575644</v>
      </c>
    </row>
    <row r="1093" spans="1:6">
      <c r="A1093" s="403">
        <v>2343</v>
      </c>
      <c r="B1093" s="403">
        <v>55</v>
      </c>
      <c r="C1093" s="166">
        <v>944</v>
      </c>
      <c r="D1093" s="166">
        <v>470</v>
      </c>
      <c r="E1093" s="166" t="s">
        <v>1102</v>
      </c>
      <c r="F1093" s="166">
        <v>1249.7389584575644</v>
      </c>
    </row>
    <row r="1094" spans="1:6">
      <c r="A1094" s="403">
        <v>2344</v>
      </c>
      <c r="B1094" s="403">
        <v>55</v>
      </c>
      <c r="C1094" s="166">
        <v>944</v>
      </c>
      <c r="D1094" s="166">
        <v>470</v>
      </c>
      <c r="E1094" s="166" t="s">
        <v>1102</v>
      </c>
      <c r="F1094" s="166">
        <v>1249.7389584575644</v>
      </c>
    </row>
    <row r="1095" spans="1:6">
      <c r="A1095" s="403">
        <v>2345</v>
      </c>
      <c r="B1095" s="403">
        <v>55</v>
      </c>
      <c r="C1095" s="166">
        <v>944</v>
      </c>
      <c r="D1095" s="166">
        <v>470</v>
      </c>
      <c r="E1095" s="166" t="s">
        <v>1102</v>
      </c>
      <c r="F1095" s="166">
        <v>1249.7389584575644</v>
      </c>
    </row>
    <row r="1096" spans="1:6">
      <c r="A1096" s="403">
        <v>2346</v>
      </c>
      <c r="B1096" s="403">
        <v>55</v>
      </c>
      <c r="C1096" s="166">
        <v>944</v>
      </c>
      <c r="D1096" s="166">
        <v>470</v>
      </c>
      <c r="E1096" s="166" t="s">
        <v>1102</v>
      </c>
      <c r="F1096" s="166">
        <v>1249.7389584575644</v>
      </c>
    </row>
    <row r="1097" spans="1:6">
      <c r="A1097" s="403">
        <v>2347</v>
      </c>
      <c r="B1097" s="403">
        <v>55</v>
      </c>
      <c r="C1097" s="166">
        <v>944</v>
      </c>
      <c r="D1097" s="166">
        <v>470</v>
      </c>
      <c r="E1097" s="166" t="s">
        <v>1102</v>
      </c>
      <c r="F1097" s="166">
        <v>1249.7389584575644</v>
      </c>
    </row>
    <row r="1098" spans="1:6">
      <c r="A1098" s="403">
        <v>2348</v>
      </c>
      <c r="B1098" s="403">
        <v>55</v>
      </c>
      <c r="C1098" s="166">
        <v>944</v>
      </c>
      <c r="D1098" s="166">
        <v>470</v>
      </c>
      <c r="E1098" s="166" t="s">
        <v>1102</v>
      </c>
      <c r="F1098" s="166">
        <v>1249.7389584575644</v>
      </c>
    </row>
    <row r="1099" spans="1:6">
      <c r="A1099" s="403">
        <v>2350</v>
      </c>
      <c r="B1099" s="403">
        <v>59</v>
      </c>
      <c r="C1099" s="166">
        <v>1769</v>
      </c>
      <c r="D1099" s="166">
        <v>206</v>
      </c>
      <c r="E1099" s="166" t="s">
        <v>1102</v>
      </c>
      <c r="F1099" s="166">
        <v>1139.4266227004518</v>
      </c>
    </row>
    <row r="1100" spans="1:6">
      <c r="A1100" s="403">
        <v>2351</v>
      </c>
      <c r="B1100" s="403">
        <v>59</v>
      </c>
      <c r="C1100" s="166">
        <v>1769</v>
      </c>
      <c r="D1100" s="166">
        <v>206</v>
      </c>
      <c r="E1100" s="166" t="s">
        <v>1102</v>
      </c>
      <c r="F1100" s="166">
        <v>1139.4266227004518</v>
      </c>
    </row>
    <row r="1101" spans="1:6">
      <c r="A1101" s="403">
        <v>2352</v>
      </c>
      <c r="B1101" s="403">
        <v>55</v>
      </c>
      <c r="C1101" s="166">
        <v>944</v>
      </c>
      <c r="D1101" s="166">
        <v>470</v>
      </c>
      <c r="E1101" s="166" t="s">
        <v>1102</v>
      </c>
      <c r="F1101" s="166">
        <v>1249.7389584575644</v>
      </c>
    </row>
    <row r="1102" spans="1:6">
      <c r="A1102" s="403">
        <v>2353</v>
      </c>
      <c r="B1102" s="403">
        <v>55</v>
      </c>
      <c r="C1102" s="166">
        <v>944</v>
      </c>
      <c r="D1102" s="166">
        <v>470</v>
      </c>
      <c r="E1102" s="166" t="s">
        <v>1102</v>
      </c>
      <c r="F1102" s="166">
        <v>1249.7389584575644</v>
      </c>
    </row>
    <row r="1103" spans="1:6">
      <c r="A1103" s="403">
        <v>2354</v>
      </c>
      <c r="B1103" s="403">
        <v>59</v>
      </c>
      <c r="C1103" s="166">
        <v>1769</v>
      </c>
      <c r="D1103" s="166">
        <v>206</v>
      </c>
      <c r="E1103" s="166" t="s">
        <v>1102</v>
      </c>
      <c r="F1103" s="166">
        <v>1139.4266227004518</v>
      </c>
    </row>
    <row r="1104" spans="1:6">
      <c r="A1104" s="403">
        <v>2355</v>
      </c>
      <c r="B1104" s="403">
        <v>55</v>
      </c>
      <c r="C1104" s="166">
        <v>944</v>
      </c>
      <c r="D1104" s="166">
        <v>470</v>
      </c>
      <c r="E1104" s="166" t="s">
        <v>1102</v>
      </c>
      <c r="F1104" s="166">
        <v>1249.7389584575644</v>
      </c>
    </row>
    <row r="1105" spans="1:6">
      <c r="A1105" s="403">
        <v>2356</v>
      </c>
      <c r="B1105" s="403">
        <v>56</v>
      </c>
      <c r="C1105" s="166">
        <v>1164</v>
      </c>
      <c r="D1105" s="166">
        <v>283</v>
      </c>
      <c r="E1105" s="166" t="s">
        <v>1102</v>
      </c>
      <c r="F1105" s="166">
        <v>1552.0221730308053</v>
      </c>
    </row>
    <row r="1106" spans="1:6">
      <c r="A1106" s="403">
        <v>2357</v>
      </c>
      <c r="B1106" s="403">
        <v>56</v>
      </c>
      <c r="C1106" s="166">
        <v>1164</v>
      </c>
      <c r="D1106" s="166">
        <v>283</v>
      </c>
      <c r="E1106" s="166" t="s">
        <v>1102</v>
      </c>
      <c r="F1106" s="166">
        <v>1552.0221730308053</v>
      </c>
    </row>
    <row r="1107" spans="1:6">
      <c r="A1107" s="403">
        <v>2358</v>
      </c>
      <c r="B1107" s="403">
        <v>59</v>
      </c>
      <c r="C1107" s="166">
        <v>1769</v>
      </c>
      <c r="D1107" s="166">
        <v>206</v>
      </c>
      <c r="E1107" s="166" t="s">
        <v>1102</v>
      </c>
      <c r="F1107" s="166">
        <v>1139.4266227004518</v>
      </c>
    </row>
    <row r="1108" spans="1:6">
      <c r="A1108" s="403">
        <v>2359</v>
      </c>
      <c r="B1108" s="403">
        <v>59</v>
      </c>
      <c r="C1108" s="166">
        <v>1769</v>
      </c>
      <c r="D1108" s="166">
        <v>206</v>
      </c>
      <c r="E1108" s="166" t="s">
        <v>1102</v>
      </c>
      <c r="F1108" s="166">
        <v>1139.4266227004518</v>
      </c>
    </row>
    <row r="1109" spans="1:6">
      <c r="A1109" s="403">
        <v>2360</v>
      </c>
      <c r="B1109" s="403">
        <v>59</v>
      </c>
      <c r="C1109" s="166">
        <v>1769</v>
      </c>
      <c r="D1109" s="166">
        <v>206</v>
      </c>
      <c r="E1109" s="166" t="s">
        <v>1102</v>
      </c>
      <c r="F1109" s="166">
        <v>1139.4266227004518</v>
      </c>
    </row>
    <row r="1110" spans="1:6">
      <c r="A1110" s="403">
        <v>2361</v>
      </c>
      <c r="B1110" s="403">
        <v>55</v>
      </c>
      <c r="C1110" s="166">
        <v>944</v>
      </c>
      <c r="D1110" s="166">
        <v>470</v>
      </c>
      <c r="E1110" s="166" t="s">
        <v>1102</v>
      </c>
      <c r="F1110" s="166">
        <v>1249.7389584575644</v>
      </c>
    </row>
    <row r="1111" spans="1:6">
      <c r="A1111" s="403">
        <v>2365</v>
      </c>
      <c r="B1111" s="403">
        <v>59</v>
      </c>
      <c r="C1111" s="166">
        <v>1769</v>
      </c>
      <c r="D1111" s="166">
        <v>206</v>
      </c>
      <c r="E1111" s="166" t="s">
        <v>1102</v>
      </c>
      <c r="F1111" s="166">
        <v>1139.4266227004518</v>
      </c>
    </row>
    <row r="1112" spans="1:6">
      <c r="A1112" s="403">
        <v>2369</v>
      </c>
      <c r="B1112" s="403">
        <v>59</v>
      </c>
      <c r="C1112" s="166">
        <v>1769</v>
      </c>
      <c r="D1112" s="166">
        <v>206</v>
      </c>
      <c r="E1112" s="166" t="s">
        <v>1102</v>
      </c>
      <c r="F1112" s="166">
        <v>1139.4266227004518</v>
      </c>
    </row>
    <row r="1113" spans="1:6">
      <c r="A1113" s="403">
        <v>2370</v>
      </c>
      <c r="B1113" s="403">
        <v>59</v>
      </c>
      <c r="C1113" s="166">
        <v>1769</v>
      </c>
      <c r="D1113" s="166">
        <v>206</v>
      </c>
      <c r="E1113" s="166" t="s">
        <v>1102</v>
      </c>
      <c r="F1113" s="166">
        <v>1139.4266227004518</v>
      </c>
    </row>
    <row r="1114" spans="1:6">
      <c r="A1114" s="403">
        <v>2371</v>
      </c>
      <c r="B1114" s="403">
        <v>59</v>
      </c>
      <c r="C1114" s="166">
        <v>1769</v>
      </c>
      <c r="D1114" s="166">
        <v>206</v>
      </c>
      <c r="E1114" s="166" t="s">
        <v>1102</v>
      </c>
      <c r="F1114" s="166">
        <v>1139.4266227004518</v>
      </c>
    </row>
    <row r="1115" spans="1:6">
      <c r="A1115" s="403">
        <v>2372</v>
      </c>
      <c r="B1115" s="403">
        <v>59</v>
      </c>
      <c r="C1115" s="166">
        <v>1769</v>
      </c>
      <c r="D1115" s="166">
        <v>206</v>
      </c>
      <c r="E1115" s="166" t="s">
        <v>1102</v>
      </c>
      <c r="F1115" s="166">
        <v>1139.4266227004518</v>
      </c>
    </row>
    <row r="1116" spans="1:6">
      <c r="A1116" s="403">
        <v>2379</v>
      </c>
      <c r="B1116" s="403">
        <v>55</v>
      </c>
      <c r="C1116" s="166">
        <v>944</v>
      </c>
      <c r="D1116" s="166">
        <v>470</v>
      </c>
      <c r="E1116" s="166" t="s">
        <v>1102</v>
      </c>
      <c r="F1116" s="166">
        <v>1249.7389584575644</v>
      </c>
    </row>
    <row r="1117" spans="1:6">
      <c r="A1117" s="403">
        <v>2380</v>
      </c>
      <c r="B1117" s="403">
        <v>55</v>
      </c>
      <c r="C1117" s="166">
        <v>944</v>
      </c>
      <c r="D1117" s="166">
        <v>470</v>
      </c>
      <c r="E1117" s="166" t="s">
        <v>1102</v>
      </c>
      <c r="F1117" s="166">
        <v>1249.7389584575644</v>
      </c>
    </row>
    <row r="1118" spans="1:6">
      <c r="A1118" s="403">
        <v>2381</v>
      </c>
      <c r="B1118" s="403">
        <v>55</v>
      </c>
      <c r="C1118" s="166">
        <v>944</v>
      </c>
      <c r="D1118" s="166">
        <v>470</v>
      </c>
      <c r="E1118" s="166" t="s">
        <v>1102</v>
      </c>
      <c r="F1118" s="166">
        <v>1249.7389584575644</v>
      </c>
    </row>
    <row r="1119" spans="1:6">
      <c r="A1119" s="403">
        <v>2382</v>
      </c>
      <c r="B1119" s="403">
        <v>55</v>
      </c>
      <c r="C1119" s="166">
        <v>944</v>
      </c>
      <c r="D1119" s="166">
        <v>470</v>
      </c>
      <c r="E1119" s="166" t="s">
        <v>1102</v>
      </c>
      <c r="F1119" s="166">
        <v>1249.7389584575644</v>
      </c>
    </row>
    <row r="1120" spans="1:6">
      <c r="A1120" s="403">
        <v>2386</v>
      </c>
      <c r="B1120" s="403">
        <v>55</v>
      </c>
      <c r="C1120" s="166">
        <v>944</v>
      </c>
      <c r="D1120" s="166">
        <v>470</v>
      </c>
      <c r="E1120" s="166" t="s">
        <v>1102</v>
      </c>
      <c r="F1120" s="166">
        <v>1249.7389584575644</v>
      </c>
    </row>
    <row r="1121" spans="1:6">
      <c r="A1121" s="403">
        <v>2387</v>
      </c>
      <c r="B1121" s="403">
        <v>55</v>
      </c>
      <c r="C1121" s="166">
        <v>944</v>
      </c>
      <c r="D1121" s="166">
        <v>470</v>
      </c>
      <c r="E1121" s="166" t="s">
        <v>1102</v>
      </c>
      <c r="F1121" s="166">
        <v>1249.7389584575644</v>
      </c>
    </row>
    <row r="1122" spans="1:6">
      <c r="A1122" s="403">
        <v>2388</v>
      </c>
      <c r="B1122" s="403">
        <v>55</v>
      </c>
      <c r="C1122" s="166">
        <v>944</v>
      </c>
      <c r="D1122" s="166">
        <v>470</v>
      </c>
      <c r="E1122" s="166" t="s">
        <v>1102</v>
      </c>
      <c r="F1122" s="166">
        <v>1249.7389584575644</v>
      </c>
    </row>
    <row r="1123" spans="1:6">
      <c r="A1123" s="403">
        <v>2390</v>
      </c>
      <c r="B1123" s="403">
        <v>55</v>
      </c>
      <c r="C1123" s="166">
        <v>944</v>
      </c>
      <c r="D1123" s="166">
        <v>470</v>
      </c>
      <c r="E1123" s="166" t="s">
        <v>1102</v>
      </c>
      <c r="F1123" s="166">
        <v>1249.7389584575644</v>
      </c>
    </row>
    <row r="1124" spans="1:6">
      <c r="A1124" s="403">
        <v>2395</v>
      </c>
      <c r="B1124" s="403">
        <v>56</v>
      </c>
      <c r="C1124" s="166">
        <v>1164</v>
      </c>
      <c r="D1124" s="166">
        <v>283</v>
      </c>
      <c r="E1124" s="166" t="s">
        <v>1102</v>
      </c>
      <c r="F1124" s="166">
        <v>1552.0221730308053</v>
      </c>
    </row>
    <row r="1125" spans="1:6">
      <c r="A1125" s="403">
        <v>2396</v>
      </c>
      <c r="B1125" s="403">
        <v>55</v>
      </c>
      <c r="C1125" s="166">
        <v>944</v>
      </c>
      <c r="D1125" s="166">
        <v>470</v>
      </c>
      <c r="E1125" s="166" t="s">
        <v>1102</v>
      </c>
      <c r="F1125" s="166">
        <v>1249.7389584575644</v>
      </c>
    </row>
    <row r="1126" spans="1:6">
      <c r="A1126" s="403">
        <v>2397</v>
      </c>
      <c r="B1126" s="403">
        <v>55</v>
      </c>
      <c r="C1126" s="166">
        <v>944</v>
      </c>
      <c r="D1126" s="166">
        <v>470</v>
      </c>
      <c r="E1126" s="166" t="s">
        <v>1102</v>
      </c>
      <c r="F1126" s="166">
        <v>1249.7389584575644</v>
      </c>
    </row>
    <row r="1127" spans="1:6">
      <c r="A1127" s="403">
        <v>2398</v>
      </c>
      <c r="B1127" s="403">
        <v>55</v>
      </c>
      <c r="C1127" s="166">
        <v>944</v>
      </c>
      <c r="D1127" s="166">
        <v>470</v>
      </c>
      <c r="E1127" s="166" t="s">
        <v>1102</v>
      </c>
      <c r="F1127" s="166">
        <v>1249.7389584575644</v>
      </c>
    </row>
    <row r="1128" spans="1:6">
      <c r="A1128" s="403">
        <v>2399</v>
      </c>
      <c r="B1128" s="403">
        <v>55</v>
      </c>
      <c r="C1128" s="166">
        <v>944</v>
      </c>
      <c r="D1128" s="166">
        <v>470</v>
      </c>
      <c r="E1128" s="166" t="s">
        <v>1102</v>
      </c>
      <c r="F1128" s="166">
        <v>1249.7389584575644</v>
      </c>
    </row>
    <row r="1129" spans="1:6">
      <c r="A1129" s="403">
        <v>2400</v>
      </c>
      <c r="B1129" s="403">
        <v>55</v>
      </c>
      <c r="C1129" s="166">
        <v>944</v>
      </c>
      <c r="D1129" s="166">
        <v>470</v>
      </c>
      <c r="E1129" s="166" t="s">
        <v>1102</v>
      </c>
      <c r="F1129" s="166">
        <v>1249.7389584575644</v>
      </c>
    </row>
    <row r="1130" spans="1:6">
      <c r="A1130" s="403">
        <v>2401</v>
      </c>
      <c r="B1130" s="403">
        <v>55</v>
      </c>
      <c r="C1130" s="166">
        <v>944</v>
      </c>
      <c r="D1130" s="166">
        <v>470</v>
      </c>
      <c r="E1130" s="166" t="s">
        <v>1102</v>
      </c>
      <c r="F1130" s="166">
        <v>1249.7389584575644</v>
      </c>
    </row>
    <row r="1131" spans="1:6">
      <c r="A1131" s="403">
        <v>2402</v>
      </c>
      <c r="B1131" s="403">
        <v>55</v>
      </c>
      <c r="C1131" s="166">
        <v>944</v>
      </c>
      <c r="D1131" s="166">
        <v>470</v>
      </c>
      <c r="E1131" s="166" t="s">
        <v>1102</v>
      </c>
      <c r="F1131" s="166">
        <v>1249.7389584575644</v>
      </c>
    </row>
    <row r="1132" spans="1:6">
      <c r="A1132" s="403">
        <v>2403</v>
      </c>
      <c r="B1132" s="403">
        <v>55</v>
      </c>
      <c r="C1132" s="166">
        <v>944</v>
      </c>
      <c r="D1132" s="166">
        <v>470</v>
      </c>
      <c r="E1132" s="166" t="s">
        <v>1102</v>
      </c>
      <c r="F1132" s="166">
        <v>1249.7389584575644</v>
      </c>
    </row>
    <row r="1133" spans="1:6">
      <c r="A1133" s="403">
        <v>2404</v>
      </c>
      <c r="B1133" s="403">
        <v>55</v>
      </c>
      <c r="C1133" s="166">
        <v>944</v>
      </c>
      <c r="D1133" s="166">
        <v>470</v>
      </c>
      <c r="E1133" s="166" t="s">
        <v>1102</v>
      </c>
      <c r="F1133" s="166">
        <v>1249.7389584575644</v>
      </c>
    </row>
    <row r="1134" spans="1:6">
      <c r="A1134" s="403">
        <v>2405</v>
      </c>
      <c r="B1134" s="403">
        <v>55</v>
      </c>
      <c r="C1134" s="166">
        <v>944</v>
      </c>
      <c r="D1134" s="166">
        <v>470</v>
      </c>
      <c r="E1134" s="166" t="s">
        <v>1102</v>
      </c>
      <c r="F1134" s="166">
        <v>1249.7389584575644</v>
      </c>
    </row>
    <row r="1135" spans="1:6">
      <c r="A1135" s="403">
        <v>2406</v>
      </c>
      <c r="B1135" s="403">
        <v>55</v>
      </c>
      <c r="C1135" s="166">
        <v>944</v>
      </c>
      <c r="D1135" s="166">
        <v>470</v>
      </c>
      <c r="E1135" s="166" t="s">
        <v>1102</v>
      </c>
      <c r="F1135" s="166">
        <v>1249.7389584575644</v>
      </c>
    </row>
    <row r="1136" spans="1:6">
      <c r="A1136" s="403">
        <v>2408</v>
      </c>
      <c r="B1136" s="403">
        <v>55</v>
      </c>
      <c r="C1136" s="166">
        <v>944</v>
      </c>
      <c r="D1136" s="166">
        <v>470</v>
      </c>
      <c r="E1136" s="166" t="s">
        <v>1102</v>
      </c>
      <c r="F1136" s="166">
        <v>1249.7389584575644</v>
      </c>
    </row>
    <row r="1137" spans="1:6">
      <c r="A1137" s="403">
        <v>2409</v>
      </c>
      <c r="B1137" s="403">
        <v>55</v>
      </c>
      <c r="C1137" s="166">
        <v>944</v>
      </c>
      <c r="D1137" s="166">
        <v>470</v>
      </c>
      <c r="E1137" s="166" t="s">
        <v>1102</v>
      </c>
      <c r="F1137" s="166">
        <v>1249.7389584575644</v>
      </c>
    </row>
    <row r="1138" spans="1:6">
      <c r="A1138" s="403">
        <v>2410</v>
      </c>
      <c r="B1138" s="403">
        <v>55</v>
      </c>
      <c r="C1138" s="166">
        <v>944</v>
      </c>
      <c r="D1138" s="166">
        <v>470</v>
      </c>
      <c r="E1138" s="166" t="s">
        <v>1102</v>
      </c>
      <c r="F1138" s="166">
        <v>1249.7389584575644</v>
      </c>
    </row>
    <row r="1139" spans="1:6">
      <c r="A1139" s="403">
        <v>2411</v>
      </c>
      <c r="B1139" s="403">
        <v>55</v>
      </c>
      <c r="C1139" s="166">
        <v>944</v>
      </c>
      <c r="D1139" s="166">
        <v>470</v>
      </c>
      <c r="E1139" s="166" t="s">
        <v>1102</v>
      </c>
      <c r="F1139" s="166">
        <v>1249.7389584575644</v>
      </c>
    </row>
    <row r="1140" spans="1:6">
      <c r="A1140" s="403">
        <v>2415</v>
      </c>
      <c r="B1140" s="403">
        <v>61</v>
      </c>
      <c r="C1140" s="166">
        <v>616</v>
      </c>
      <c r="D1140" s="166">
        <v>653</v>
      </c>
      <c r="E1140" s="166" t="s">
        <v>1102</v>
      </c>
      <c r="F1140" s="166">
        <v>661.79028571428785</v>
      </c>
    </row>
    <row r="1141" spans="1:6">
      <c r="A1141" s="403">
        <v>2420</v>
      </c>
      <c r="B1141" s="403">
        <v>61</v>
      </c>
      <c r="C1141" s="166">
        <v>616</v>
      </c>
      <c r="D1141" s="166">
        <v>653</v>
      </c>
      <c r="E1141" s="166" t="s">
        <v>1102</v>
      </c>
      <c r="F1141" s="166">
        <v>661.79028571428785</v>
      </c>
    </row>
    <row r="1142" spans="1:6">
      <c r="A1142" s="403">
        <v>2421</v>
      </c>
      <c r="B1142" s="403">
        <v>61</v>
      </c>
      <c r="C1142" s="166">
        <v>616</v>
      </c>
      <c r="D1142" s="166">
        <v>653</v>
      </c>
      <c r="E1142" s="166" t="s">
        <v>1102</v>
      </c>
      <c r="F1142" s="166">
        <v>661.79028571428785</v>
      </c>
    </row>
    <row r="1143" spans="1:6">
      <c r="A1143" s="403">
        <v>2422</v>
      </c>
      <c r="B1143" s="403">
        <v>60</v>
      </c>
      <c r="C1143" s="166">
        <v>596</v>
      </c>
      <c r="D1143" s="166">
        <v>853</v>
      </c>
      <c r="E1143" s="166" t="s">
        <v>1102</v>
      </c>
      <c r="F1143" s="166">
        <v>324.85453024145386</v>
      </c>
    </row>
    <row r="1144" spans="1:6">
      <c r="A1144" s="403">
        <v>2423</v>
      </c>
      <c r="B1144" s="403">
        <v>60</v>
      </c>
      <c r="C1144" s="166">
        <v>596</v>
      </c>
      <c r="D1144" s="166">
        <v>853</v>
      </c>
      <c r="E1144" s="166" t="s">
        <v>1102</v>
      </c>
      <c r="F1144" s="166">
        <v>324.85453024145386</v>
      </c>
    </row>
    <row r="1145" spans="1:6">
      <c r="A1145" s="403">
        <v>2424</v>
      </c>
      <c r="B1145" s="403">
        <v>60</v>
      </c>
      <c r="C1145" s="166">
        <v>596</v>
      </c>
      <c r="D1145" s="166">
        <v>853</v>
      </c>
      <c r="E1145" s="166" t="s">
        <v>1102</v>
      </c>
      <c r="F1145" s="166">
        <v>324.85453024145386</v>
      </c>
    </row>
    <row r="1146" spans="1:6">
      <c r="A1146" s="403">
        <v>2425</v>
      </c>
      <c r="B1146" s="403">
        <v>61</v>
      </c>
      <c r="C1146" s="166">
        <v>616</v>
      </c>
      <c r="D1146" s="166">
        <v>653</v>
      </c>
      <c r="E1146" s="166" t="s">
        <v>1102</v>
      </c>
      <c r="F1146" s="166">
        <v>661.79028571428785</v>
      </c>
    </row>
    <row r="1147" spans="1:6">
      <c r="A1147" s="403">
        <v>2426</v>
      </c>
      <c r="B1147" s="403">
        <v>60</v>
      </c>
      <c r="C1147" s="166">
        <v>596</v>
      </c>
      <c r="D1147" s="166">
        <v>853</v>
      </c>
      <c r="E1147" s="166" t="s">
        <v>1102</v>
      </c>
      <c r="F1147" s="166">
        <v>324.85453024145386</v>
      </c>
    </row>
    <row r="1148" spans="1:6">
      <c r="A1148" s="403">
        <v>2427</v>
      </c>
      <c r="B1148" s="403">
        <v>60</v>
      </c>
      <c r="C1148" s="166">
        <v>596</v>
      </c>
      <c r="D1148" s="166">
        <v>853</v>
      </c>
      <c r="E1148" s="166" t="s">
        <v>1102</v>
      </c>
      <c r="F1148" s="166">
        <v>324.85453024145386</v>
      </c>
    </row>
    <row r="1149" spans="1:6">
      <c r="A1149" s="403">
        <v>2428</v>
      </c>
      <c r="B1149" s="403">
        <v>60</v>
      </c>
      <c r="C1149" s="166">
        <v>596</v>
      </c>
      <c r="D1149" s="166">
        <v>853</v>
      </c>
      <c r="E1149" s="166" t="s">
        <v>1102</v>
      </c>
      <c r="F1149" s="166">
        <v>324.85453024145386</v>
      </c>
    </row>
    <row r="1150" spans="1:6">
      <c r="A1150" s="403">
        <v>2429</v>
      </c>
      <c r="B1150" s="403">
        <v>60</v>
      </c>
      <c r="C1150" s="166">
        <v>596</v>
      </c>
      <c r="D1150" s="166">
        <v>853</v>
      </c>
      <c r="E1150" s="166" t="s">
        <v>1102</v>
      </c>
      <c r="F1150" s="166">
        <v>324.85453024145386</v>
      </c>
    </row>
    <row r="1151" spans="1:6">
      <c r="A1151" s="403">
        <v>2430</v>
      </c>
      <c r="B1151" s="403">
        <v>60</v>
      </c>
      <c r="C1151" s="166">
        <v>596</v>
      </c>
      <c r="D1151" s="166">
        <v>853</v>
      </c>
      <c r="E1151" s="166" t="s">
        <v>1102</v>
      </c>
      <c r="F1151" s="166">
        <v>324.85453024145386</v>
      </c>
    </row>
    <row r="1152" spans="1:6">
      <c r="A1152" s="403">
        <v>2431</v>
      </c>
      <c r="B1152" s="403">
        <v>60</v>
      </c>
      <c r="C1152" s="166">
        <v>596</v>
      </c>
      <c r="D1152" s="166">
        <v>853</v>
      </c>
      <c r="E1152" s="166" t="s">
        <v>1102</v>
      </c>
      <c r="F1152" s="166">
        <v>324.85453024145386</v>
      </c>
    </row>
    <row r="1153" spans="1:6">
      <c r="A1153" s="403">
        <v>2439</v>
      </c>
      <c r="B1153" s="403">
        <v>60</v>
      </c>
      <c r="C1153" s="166">
        <v>596</v>
      </c>
      <c r="D1153" s="166">
        <v>853</v>
      </c>
      <c r="E1153" s="166" t="s">
        <v>1102</v>
      </c>
      <c r="F1153" s="166">
        <v>324.85453024145386</v>
      </c>
    </row>
    <row r="1154" spans="1:6">
      <c r="A1154" s="403">
        <v>2440</v>
      </c>
      <c r="B1154" s="403">
        <v>60</v>
      </c>
      <c r="C1154" s="166">
        <v>596</v>
      </c>
      <c r="D1154" s="166">
        <v>853</v>
      </c>
      <c r="E1154" s="166" t="s">
        <v>1102</v>
      </c>
      <c r="F1154" s="166">
        <v>324.85453024145386</v>
      </c>
    </row>
    <row r="1155" spans="1:6">
      <c r="A1155" s="403">
        <v>2441</v>
      </c>
      <c r="B1155" s="403">
        <v>60</v>
      </c>
      <c r="C1155" s="166">
        <v>596</v>
      </c>
      <c r="D1155" s="166">
        <v>853</v>
      </c>
      <c r="E1155" s="166" t="s">
        <v>1102</v>
      </c>
      <c r="F1155" s="166">
        <v>324.85453024145386</v>
      </c>
    </row>
    <row r="1156" spans="1:6">
      <c r="A1156" s="403">
        <v>2442</v>
      </c>
      <c r="B1156" s="403">
        <v>60</v>
      </c>
      <c r="C1156" s="166">
        <v>596</v>
      </c>
      <c r="D1156" s="166">
        <v>853</v>
      </c>
      <c r="E1156" s="166" t="s">
        <v>1102</v>
      </c>
      <c r="F1156" s="166">
        <v>324.85453024145386</v>
      </c>
    </row>
    <row r="1157" spans="1:6">
      <c r="A1157" s="403">
        <v>2443</v>
      </c>
      <c r="B1157" s="403">
        <v>60</v>
      </c>
      <c r="C1157" s="166">
        <v>596</v>
      </c>
      <c r="D1157" s="166">
        <v>853</v>
      </c>
      <c r="E1157" s="166" t="s">
        <v>1102</v>
      </c>
      <c r="F1157" s="166">
        <v>324.85453024145386</v>
      </c>
    </row>
    <row r="1158" spans="1:6">
      <c r="A1158" s="403">
        <v>2444</v>
      </c>
      <c r="B1158" s="403">
        <v>60</v>
      </c>
      <c r="C1158" s="166">
        <v>596</v>
      </c>
      <c r="D1158" s="166">
        <v>853</v>
      </c>
      <c r="E1158" s="166" t="s">
        <v>1102</v>
      </c>
      <c r="F1158" s="166">
        <v>324.85453024145386</v>
      </c>
    </row>
    <row r="1159" spans="1:6">
      <c r="A1159" s="403">
        <v>2445</v>
      </c>
      <c r="B1159" s="403">
        <v>60</v>
      </c>
      <c r="C1159" s="166">
        <v>596</v>
      </c>
      <c r="D1159" s="166">
        <v>853</v>
      </c>
      <c r="E1159" s="166" t="s">
        <v>1102</v>
      </c>
      <c r="F1159" s="166">
        <v>324.85453024145386</v>
      </c>
    </row>
    <row r="1160" spans="1:6">
      <c r="A1160" s="403">
        <v>2446</v>
      </c>
      <c r="B1160" s="403">
        <v>60</v>
      </c>
      <c r="C1160" s="166">
        <v>596</v>
      </c>
      <c r="D1160" s="166">
        <v>853</v>
      </c>
      <c r="E1160" s="166" t="s">
        <v>1102</v>
      </c>
      <c r="F1160" s="166">
        <v>324.85453024145386</v>
      </c>
    </row>
    <row r="1161" spans="1:6">
      <c r="A1161" s="403">
        <v>2447</v>
      </c>
      <c r="B1161" s="403">
        <v>60</v>
      </c>
      <c r="C1161" s="166">
        <v>596</v>
      </c>
      <c r="D1161" s="166">
        <v>853</v>
      </c>
      <c r="E1161" s="166" t="s">
        <v>1102</v>
      </c>
      <c r="F1161" s="166">
        <v>324.85453024145386</v>
      </c>
    </row>
    <row r="1162" spans="1:6">
      <c r="A1162" s="403">
        <v>2448</v>
      </c>
      <c r="B1162" s="403">
        <v>60</v>
      </c>
      <c r="C1162" s="166">
        <v>596</v>
      </c>
      <c r="D1162" s="166">
        <v>853</v>
      </c>
      <c r="E1162" s="166" t="s">
        <v>1102</v>
      </c>
      <c r="F1162" s="166">
        <v>324.85453024145386</v>
      </c>
    </row>
    <row r="1163" spans="1:6">
      <c r="A1163" s="403">
        <v>2449</v>
      </c>
      <c r="B1163" s="403">
        <v>60</v>
      </c>
      <c r="C1163" s="166">
        <v>596</v>
      </c>
      <c r="D1163" s="166">
        <v>853</v>
      </c>
      <c r="E1163" s="166" t="s">
        <v>1102</v>
      </c>
      <c r="F1163" s="166">
        <v>324.85453024145386</v>
      </c>
    </row>
    <row r="1164" spans="1:6">
      <c r="A1164" s="403">
        <v>2450</v>
      </c>
      <c r="B1164" s="403">
        <v>60</v>
      </c>
      <c r="C1164" s="166">
        <v>596</v>
      </c>
      <c r="D1164" s="166">
        <v>853</v>
      </c>
      <c r="E1164" s="166" t="s">
        <v>1102</v>
      </c>
      <c r="F1164" s="166">
        <v>324.85453024145386</v>
      </c>
    </row>
    <row r="1165" spans="1:6">
      <c r="A1165" s="403">
        <v>2452</v>
      </c>
      <c r="B1165" s="403">
        <v>60</v>
      </c>
      <c r="C1165" s="166">
        <v>596</v>
      </c>
      <c r="D1165" s="166">
        <v>853</v>
      </c>
      <c r="E1165" s="166" t="s">
        <v>1102</v>
      </c>
      <c r="F1165" s="166">
        <v>324.85453024145386</v>
      </c>
    </row>
    <row r="1166" spans="1:6">
      <c r="A1166" s="403">
        <v>2453</v>
      </c>
      <c r="B1166" s="403">
        <v>60</v>
      </c>
      <c r="C1166" s="166">
        <v>596</v>
      </c>
      <c r="D1166" s="166">
        <v>853</v>
      </c>
      <c r="E1166" s="166" t="s">
        <v>1102</v>
      </c>
      <c r="F1166" s="166">
        <v>324.85453024145386</v>
      </c>
    </row>
    <row r="1167" spans="1:6">
      <c r="A1167" s="403">
        <v>2454</v>
      </c>
      <c r="B1167" s="403">
        <v>60</v>
      </c>
      <c r="C1167" s="166">
        <v>596</v>
      </c>
      <c r="D1167" s="166">
        <v>853</v>
      </c>
      <c r="E1167" s="166" t="s">
        <v>1102</v>
      </c>
      <c r="F1167" s="166">
        <v>324.85453024145386</v>
      </c>
    </row>
    <row r="1168" spans="1:6">
      <c r="A1168" s="403">
        <v>2455</v>
      </c>
      <c r="B1168" s="403">
        <v>60</v>
      </c>
      <c r="C1168" s="166">
        <v>596</v>
      </c>
      <c r="D1168" s="166">
        <v>853</v>
      </c>
      <c r="E1168" s="166" t="s">
        <v>1102</v>
      </c>
      <c r="F1168" s="166">
        <v>324.85453024145386</v>
      </c>
    </row>
    <row r="1169" spans="1:6">
      <c r="A1169" s="403">
        <v>2456</v>
      </c>
      <c r="B1169" s="403">
        <v>60</v>
      </c>
      <c r="C1169" s="166">
        <v>596</v>
      </c>
      <c r="D1169" s="166">
        <v>853</v>
      </c>
      <c r="E1169" s="166" t="s">
        <v>1102</v>
      </c>
      <c r="F1169" s="166">
        <v>324.85453024145386</v>
      </c>
    </row>
    <row r="1170" spans="1:6">
      <c r="A1170" s="403">
        <v>2460</v>
      </c>
      <c r="B1170" s="403">
        <v>58</v>
      </c>
      <c r="C1170" s="166">
        <v>401</v>
      </c>
      <c r="D1170" s="166">
        <v>1122</v>
      </c>
      <c r="E1170" s="166" t="s">
        <v>1102</v>
      </c>
      <c r="F1170" s="166">
        <v>493.31943689009813</v>
      </c>
    </row>
    <row r="1171" spans="1:6">
      <c r="A1171" s="403">
        <v>2462</v>
      </c>
      <c r="B1171" s="403">
        <v>58</v>
      </c>
      <c r="C1171" s="166">
        <v>401</v>
      </c>
      <c r="D1171" s="166">
        <v>1122</v>
      </c>
      <c r="E1171" s="166" t="s">
        <v>1102</v>
      </c>
      <c r="F1171" s="166">
        <v>493.31943689009813</v>
      </c>
    </row>
    <row r="1172" spans="1:6">
      <c r="A1172" s="403">
        <v>2463</v>
      </c>
      <c r="B1172" s="403">
        <v>58</v>
      </c>
      <c r="C1172" s="166">
        <v>401</v>
      </c>
      <c r="D1172" s="166">
        <v>1122</v>
      </c>
      <c r="E1172" s="166" t="s">
        <v>1102</v>
      </c>
      <c r="F1172" s="166">
        <v>493.31943689009813</v>
      </c>
    </row>
    <row r="1173" spans="1:6">
      <c r="A1173" s="403">
        <v>2464</v>
      </c>
      <c r="B1173" s="403">
        <v>58</v>
      </c>
      <c r="C1173" s="166">
        <v>401</v>
      </c>
      <c r="D1173" s="166">
        <v>1122</v>
      </c>
      <c r="E1173" s="166" t="s">
        <v>1102</v>
      </c>
      <c r="F1173" s="166">
        <v>493.31943689009813</v>
      </c>
    </row>
    <row r="1174" spans="1:6">
      <c r="A1174" s="403">
        <v>2465</v>
      </c>
      <c r="B1174" s="403">
        <v>58</v>
      </c>
      <c r="C1174" s="166">
        <v>401</v>
      </c>
      <c r="D1174" s="166">
        <v>1122</v>
      </c>
      <c r="E1174" s="166" t="s">
        <v>1102</v>
      </c>
      <c r="F1174" s="166">
        <v>493.31943689009813</v>
      </c>
    </row>
    <row r="1175" spans="1:6">
      <c r="A1175" s="403">
        <v>2466</v>
      </c>
      <c r="B1175" s="403">
        <v>58</v>
      </c>
      <c r="C1175" s="166">
        <v>401</v>
      </c>
      <c r="D1175" s="166">
        <v>1122</v>
      </c>
      <c r="E1175" s="166" t="s">
        <v>1102</v>
      </c>
      <c r="F1175" s="166">
        <v>493.31943689009813</v>
      </c>
    </row>
    <row r="1176" spans="1:6">
      <c r="A1176" s="403">
        <v>2468</v>
      </c>
      <c r="B1176" s="403">
        <v>58</v>
      </c>
      <c r="C1176" s="166">
        <v>401</v>
      </c>
      <c r="D1176" s="166">
        <v>1122</v>
      </c>
      <c r="E1176" s="166" t="s">
        <v>1102</v>
      </c>
      <c r="F1176" s="166">
        <v>493.31943689009813</v>
      </c>
    </row>
    <row r="1177" spans="1:6">
      <c r="A1177" s="403">
        <v>2469</v>
      </c>
      <c r="B1177" s="403">
        <v>58</v>
      </c>
      <c r="C1177" s="166">
        <v>401</v>
      </c>
      <c r="D1177" s="166">
        <v>1122</v>
      </c>
      <c r="E1177" s="166" t="s">
        <v>1102</v>
      </c>
      <c r="F1177" s="166">
        <v>493.31943689009813</v>
      </c>
    </row>
    <row r="1178" spans="1:6">
      <c r="A1178" s="403">
        <v>2470</v>
      </c>
      <c r="B1178" s="403">
        <v>58</v>
      </c>
      <c r="C1178" s="166">
        <v>401</v>
      </c>
      <c r="D1178" s="166">
        <v>1122</v>
      </c>
      <c r="E1178" s="166" t="s">
        <v>1102</v>
      </c>
      <c r="F1178" s="166">
        <v>493.31943689009813</v>
      </c>
    </row>
    <row r="1179" spans="1:6">
      <c r="A1179" s="403">
        <v>2471</v>
      </c>
      <c r="B1179" s="403">
        <v>58</v>
      </c>
      <c r="C1179" s="166">
        <v>401</v>
      </c>
      <c r="D1179" s="166">
        <v>1122</v>
      </c>
      <c r="E1179" s="166" t="s">
        <v>1102</v>
      </c>
      <c r="F1179" s="166">
        <v>493.31943689009813</v>
      </c>
    </row>
    <row r="1180" spans="1:6">
      <c r="A1180" s="403">
        <v>2472</v>
      </c>
      <c r="B1180" s="403">
        <v>58</v>
      </c>
      <c r="C1180" s="166">
        <v>401</v>
      </c>
      <c r="D1180" s="166">
        <v>1122</v>
      </c>
      <c r="E1180" s="166" t="s">
        <v>1102</v>
      </c>
      <c r="F1180" s="166">
        <v>493.31943689009813</v>
      </c>
    </row>
    <row r="1181" spans="1:6">
      <c r="A1181" s="403">
        <v>2473</v>
      </c>
      <c r="B1181" s="403">
        <v>58</v>
      </c>
      <c r="C1181" s="166">
        <v>401</v>
      </c>
      <c r="D1181" s="166">
        <v>1122</v>
      </c>
      <c r="E1181" s="166" t="s">
        <v>1102</v>
      </c>
      <c r="F1181" s="166">
        <v>493.31943689009813</v>
      </c>
    </row>
    <row r="1182" spans="1:6">
      <c r="A1182" s="403">
        <v>2474</v>
      </c>
      <c r="B1182" s="403">
        <v>58</v>
      </c>
      <c r="C1182" s="166">
        <v>401</v>
      </c>
      <c r="D1182" s="166">
        <v>1122</v>
      </c>
      <c r="E1182" s="166" t="s">
        <v>1102</v>
      </c>
      <c r="F1182" s="166">
        <v>493.31943689009813</v>
      </c>
    </row>
    <row r="1183" spans="1:6">
      <c r="A1183" s="403">
        <v>2475</v>
      </c>
      <c r="B1183" s="403">
        <v>59</v>
      </c>
      <c r="C1183" s="166">
        <v>1769</v>
      </c>
      <c r="D1183" s="166">
        <v>206</v>
      </c>
      <c r="E1183" s="166" t="s">
        <v>1102</v>
      </c>
      <c r="F1183" s="166">
        <v>1139.4266227004518</v>
      </c>
    </row>
    <row r="1184" spans="1:6">
      <c r="A1184" s="403">
        <v>2476</v>
      </c>
      <c r="B1184" s="403">
        <v>59</v>
      </c>
      <c r="C1184" s="166">
        <v>1769</v>
      </c>
      <c r="D1184" s="166">
        <v>206</v>
      </c>
      <c r="E1184" s="166" t="s">
        <v>1102</v>
      </c>
      <c r="F1184" s="166">
        <v>1139.4266227004518</v>
      </c>
    </row>
    <row r="1185" spans="1:6">
      <c r="A1185" s="403">
        <v>2477</v>
      </c>
      <c r="B1185" s="403">
        <v>58</v>
      </c>
      <c r="C1185" s="166">
        <v>401</v>
      </c>
      <c r="D1185" s="166">
        <v>1122</v>
      </c>
      <c r="E1185" s="166" t="s">
        <v>1102</v>
      </c>
      <c r="F1185" s="166">
        <v>493.31943689009813</v>
      </c>
    </row>
    <row r="1186" spans="1:6">
      <c r="A1186" s="403">
        <v>2478</v>
      </c>
      <c r="B1186" s="403">
        <v>58</v>
      </c>
      <c r="C1186" s="166">
        <v>401</v>
      </c>
      <c r="D1186" s="166">
        <v>1122</v>
      </c>
      <c r="E1186" s="166" t="s">
        <v>1102</v>
      </c>
      <c r="F1186" s="166">
        <v>493.31943689009813</v>
      </c>
    </row>
    <row r="1187" spans="1:6">
      <c r="A1187" s="403">
        <v>2479</v>
      </c>
      <c r="B1187" s="403">
        <v>58</v>
      </c>
      <c r="C1187" s="166">
        <v>401</v>
      </c>
      <c r="D1187" s="166">
        <v>1122</v>
      </c>
      <c r="E1187" s="166" t="s">
        <v>1102</v>
      </c>
      <c r="F1187" s="166">
        <v>493.31943689009813</v>
      </c>
    </row>
    <row r="1188" spans="1:6">
      <c r="A1188" s="403">
        <v>2480</v>
      </c>
      <c r="B1188" s="403">
        <v>58</v>
      </c>
      <c r="C1188" s="166">
        <v>401</v>
      </c>
      <c r="D1188" s="166">
        <v>1122</v>
      </c>
      <c r="E1188" s="166" t="s">
        <v>1102</v>
      </c>
      <c r="F1188" s="166">
        <v>493.31943689009813</v>
      </c>
    </row>
    <row r="1189" spans="1:6">
      <c r="A1189" s="403">
        <v>2481</v>
      </c>
      <c r="B1189" s="403">
        <v>58</v>
      </c>
      <c r="C1189" s="166">
        <v>401</v>
      </c>
      <c r="D1189" s="166">
        <v>1122</v>
      </c>
      <c r="E1189" s="166" t="s">
        <v>1102</v>
      </c>
      <c r="F1189" s="166">
        <v>493.31943689009813</v>
      </c>
    </row>
    <row r="1190" spans="1:6">
      <c r="A1190" s="403">
        <v>2482</v>
      </c>
      <c r="B1190" s="403">
        <v>58</v>
      </c>
      <c r="C1190" s="166">
        <v>401</v>
      </c>
      <c r="D1190" s="166">
        <v>1122</v>
      </c>
      <c r="E1190" s="166" t="s">
        <v>1102</v>
      </c>
      <c r="F1190" s="166">
        <v>493.31943689009813</v>
      </c>
    </row>
    <row r="1191" spans="1:6">
      <c r="A1191" s="403">
        <v>2483</v>
      </c>
      <c r="B1191" s="403">
        <v>58</v>
      </c>
      <c r="C1191" s="166">
        <v>401</v>
      </c>
      <c r="D1191" s="166">
        <v>1122</v>
      </c>
      <c r="E1191" s="166" t="s">
        <v>1102</v>
      </c>
      <c r="F1191" s="166">
        <v>493.31943689009813</v>
      </c>
    </row>
    <row r="1192" spans="1:6">
      <c r="A1192" s="403">
        <v>2484</v>
      </c>
      <c r="B1192" s="403">
        <v>58</v>
      </c>
      <c r="C1192" s="166">
        <v>401</v>
      </c>
      <c r="D1192" s="166">
        <v>1122</v>
      </c>
      <c r="E1192" s="166" t="s">
        <v>1102</v>
      </c>
      <c r="F1192" s="166">
        <v>493.31943689009813</v>
      </c>
    </row>
    <row r="1193" spans="1:6">
      <c r="A1193" s="403">
        <v>2485</v>
      </c>
      <c r="B1193" s="403">
        <v>58</v>
      </c>
      <c r="C1193" s="166">
        <v>401</v>
      </c>
      <c r="D1193" s="166">
        <v>1122</v>
      </c>
      <c r="E1193" s="166" t="s">
        <v>1102</v>
      </c>
      <c r="F1193" s="166">
        <v>493.31943689009813</v>
      </c>
    </row>
    <row r="1194" spans="1:6">
      <c r="A1194" s="403">
        <v>2486</v>
      </c>
      <c r="B1194" s="403">
        <v>58</v>
      </c>
      <c r="C1194" s="166">
        <v>401</v>
      </c>
      <c r="D1194" s="166">
        <v>1122</v>
      </c>
      <c r="E1194" s="166" t="s">
        <v>1102</v>
      </c>
      <c r="F1194" s="166">
        <v>493.31943689009813</v>
      </c>
    </row>
    <row r="1195" spans="1:6">
      <c r="A1195" s="403">
        <v>2487</v>
      </c>
      <c r="B1195" s="403">
        <v>58</v>
      </c>
      <c r="C1195" s="166">
        <v>401</v>
      </c>
      <c r="D1195" s="166">
        <v>1122</v>
      </c>
      <c r="E1195" s="166" t="s">
        <v>1102</v>
      </c>
      <c r="F1195" s="166">
        <v>493.31943689009813</v>
      </c>
    </row>
    <row r="1196" spans="1:6">
      <c r="A1196" s="403">
        <v>2488</v>
      </c>
      <c r="B1196" s="403">
        <v>58</v>
      </c>
      <c r="C1196" s="166">
        <v>401</v>
      </c>
      <c r="D1196" s="166">
        <v>1122</v>
      </c>
      <c r="E1196" s="166" t="s">
        <v>1102</v>
      </c>
      <c r="F1196" s="166">
        <v>493.31943689009813</v>
      </c>
    </row>
    <row r="1197" spans="1:6">
      <c r="A1197" s="403">
        <v>2489</v>
      </c>
      <c r="B1197" s="403">
        <v>58</v>
      </c>
      <c r="C1197" s="166">
        <v>401</v>
      </c>
      <c r="D1197" s="166">
        <v>1122</v>
      </c>
      <c r="E1197" s="166" t="s">
        <v>1102</v>
      </c>
      <c r="F1197" s="166">
        <v>493.31943689009813</v>
      </c>
    </row>
    <row r="1198" spans="1:6">
      <c r="A1198" s="403">
        <v>2490</v>
      </c>
      <c r="B1198" s="403">
        <v>58</v>
      </c>
      <c r="C1198" s="166">
        <v>401</v>
      </c>
      <c r="D1198" s="166">
        <v>1122</v>
      </c>
      <c r="E1198" s="166" t="s">
        <v>1102</v>
      </c>
      <c r="F1198" s="166">
        <v>493.31943689009813</v>
      </c>
    </row>
    <row r="1199" spans="1:6">
      <c r="A1199" s="403">
        <v>2500</v>
      </c>
      <c r="B1199" s="403">
        <v>65</v>
      </c>
      <c r="C1199" s="166">
        <v>690</v>
      </c>
      <c r="D1199" s="166">
        <v>577</v>
      </c>
      <c r="E1199" s="166" t="s">
        <v>1102</v>
      </c>
      <c r="F1199" s="166">
        <v>570.50270941521808</v>
      </c>
    </row>
    <row r="1200" spans="1:6">
      <c r="A1200" s="403">
        <v>2502</v>
      </c>
      <c r="B1200" s="403">
        <v>65</v>
      </c>
      <c r="C1200" s="166">
        <v>690</v>
      </c>
      <c r="D1200" s="166">
        <v>577</v>
      </c>
      <c r="E1200" s="166" t="s">
        <v>1102</v>
      </c>
      <c r="F1200" s="166">
        <v>570.50270941521808</v>
      </c>
    </row>
    <row r="1201" spans="1:6">
      <c r="A1201" s="403">
        <v>2505</v>
      </c>
      <c r="B1201" s="403">
        <v>65</v>
      </c>
      <c r="C1201" s="166">
        <v>690</v>
      </c>
      <c r="D1201" s="166">
        <v>577</v>
      </c>
      <c r="E1201" s="166" t="s">
        <v>1102</v>
      </c>
      <c r="F1201" s="166">
        <v>570.50270941521808</v>
      </c>
    </row>
    <row r="1202" spans="1:6">
      <c r="A1202" s="403">
        <v>2506</v>
      </c>
      <c r="B1202" s="403">
        <v>65</v>
      </c>
      <c r="C1202" s="166">
        <v>690</v>
      </c>
      <c r="D1202" s="166">
        <v>577</v>
      </c>
      <c r="E1202" s="166" t="s">
        <v>1102</v>
      </c>
      <c r="F1202" s="166">
        <v>570.50270941521808</v>
      </c>
    </row>
    <row r="1203" spans="1:6">
      <c r="A1203" s="403">
        <v>2508</v>
      </c>
      <c r="B1203" s="403">
        <v>65</v>
      </c>
      <c r="C1203" s="166">
        <v>690</v>
      </c>
      <c r="D1203" s="166">
        <v>577</v>
      </c>
      <c r="E1203" s="166" t="s">
        <v>1102</v>
      </c>
      <c r="F1203" s="166">
        <v>570.50270941521808</v>
      </c>
    </row>
    <row r="1204" spans="1:6">
      <c r="A1204" s="403">
        <v>2515</v>
      </c>
      <c r="B1204" s="403">
        <v>65</v>
      </c>
      <c r="C1204" s="166">
        <v>690</v>
      </c>
      <c r="D1204" s="166">
        <v>577</v>
      </c>
      <c r="E1204" s="166" t="s">
        <v>1102</v>
      </c>
      <c r="F1204" s="166">
        <v>570.50270941521808</v>
      </c>
    </row>
    <row r="1205" spans="1:6">
      <c r="A1205" s="403">
        <v>2516</v>
      </c>
      <c r="B1205" s="403">
        <v>65</v>
      </c>
      <c r="C1205" s="166">
        <v>690</v>
      </c>
      <c r="D1205" s="166">
        <v>577</v>
      </c>
      <c r="E1205" s="166" t="s">
        <v>1102</v>
      </c>
      <c r="F1205" s="166">
        <v>570.50270941521808</v>
      </c>
    </row>
    <row r="1206" spans="1:6">
      <c r="A1206" s="403">
        <v>2517</v>
      </c>
      <c r="B1206" s="403">
        <v>65</v>
      </c>
      <c r="C1206" s="166">
        <v>690</v>
      </c>
      <c r="D1206" s="166">
        <v>577</v>
      </c>
      <c r="E1206" s="166" t="s">
        <v>1102</v>
      </c>
      <c r="F1206" s="166">
        <v>570.50270941521808</v>
      </c>
    </row>
    <row r="1207" spans="1:6">
      <c r="A1207" s="403">
        <v>2518</v>
      </c>
      <c r="B1207" s="403">
        <v>65</v>
      </c>
      <c r="C1207" s="166">
        <v>690</v>
      </c>
      <c r="D1207" s="166">
        <v>577</v>
      </c>
      <c r="E1207" s="166" t="s">
        <v>1102</v>
      </c>
      <c r="F1207" s="166">
        <v>570.50270941521808</v>
      </c>
    </row>
    <row r="1208" spans="1:6">
      <c r="A1208" s="403">
        <v>2519</v>
      </c>
      <c r="B1208" s="403">
        <v>65</v>
      </c>
      <c r="C1208" s="166">
        <v>690</v>
      </c>
      <c r="D1208" s="166">
        <v>577</v>
      </c>
      <c r="E1208" s="166" t="s">
        <v>1102</v>
      </c>
      <c r="F1208" s="166">
        <v>570.50270941521808</v>
      </c>
    </row>
    <row r="1209" spans="1:6">
      <c r="A1209" s="403">
        <v>2520</v>
      </c>
      <c r="B1209" s="403">
        <v>65</v>
      </c>
      <c r="C1209" s="166">
        <v>690</v>
      </c>
      <c r="D1209" s="166">
        <v>577</v>
      </c>
      <c r="E1209" s="166" t="s">
        <v>1102</v>
      </c>
      <c r="F1209" s="166">
        <v>570.50270941521808</v>
      </c>
    </row>
    <row r="1210" spans="1:6">
      <c r="A1210" s="403">
        <v>2521</v>
      </c>
      <c r="B1210" s="403">
        <v>65</v>
      </c>
      <c r="C1210" s="166">
        <v>690</v>
      </c>
      <c r="D1210" s="166">
        <v>577</v>
      </c>
      <c r="E1210" s="166" t="s">
        <v>1102</v>
      </c>
      <c r="F1210" s="166">
        <v>570.50270941521808</v>
      </c>
    </row>
    <row r="1211" spans="1:6">
      <c r="A1211" s="403">
        <v>2522</v>
      </c>
      <c r="B1211" s="403">
        <v>65</v>
      </c>
      <c r="C1211" s="166">
        <v>690</v>
      </c>
      <c r="D1211" s="166">
        <v>577</v>
      </c>
      <c r="E1211" s="166" t="s">
        <v>1102</v>
      </c>
      <c r="F1211" s="166">
        <v>570.50270941521808</v>
      </c>
    </row>
    <row r="1212" spans="1:6">
      <c r="A1212" s="403">
        <v>2525</v>
      </c>
      <c r="B1212" s="403">
        <v>65</v>
      </c>
      <c r="C1212" s="166">
        <v>690</v>
      </c>
      <c r="D1212" s="166">
        <v>577</v>
      </c>
      <c r="E1212" s="166" t="s">
        <v>1102</v>
      </c>
      <c r="F1212" s="166">
        <v>570.50270941521808</v>
      </c>
    </row>
    <row r="1213" spans="1:6">
      <c r="A1213" s="403">
        <v>2526</v>
      </c>
      <c r="B1213" s="403">
        <v>65</v>
      </c>
      <c r="C1213" s="166">
        <v>690</v>
      </c>
      <c r="D1213" s="166">
        <v>577</v>
      </c>
      <c r="E1213" s="166" t="s">
        <v>1102</v>
      </c>
      <c r="F1213" s="166">
        <v>570.50270941521808</v>
      </c>
    </row>
    <row r="1214" spans="1:6">
      <c r="A1214" s="403">
        <v>2527</v>
      </c>
      <c r="B1214" s="403">
        <v>65</v>
      </c>
      <c r="C1214" s="166">
        <v>690</v>
      </c>
      <c r="D1214" s="166">
        <v>577</v>
      </c>
      <c r="E1214" s="166" t="s">
        <v>1102</v>
      </c>
      <c r="F1214" s="166">
        <v>570.50270941521808</v>
      </c>
    </row>
    <row r="1215" spans="1:6">
      <c r="A1215" s="403">
        <v>2528</v>
      </c>
      <c r="B1215" s="403">
        <v>65</v>
      </c>
      <c r="C1215" s="166">
        <v>690</v>
      </c>
      <c r="D1215" s="166">
        <v>577</v>
      </c>
      <c r="E1215" s="166" t="s">
        <v>1102</v>
      </c>
      <c r="F1215" s="166">
        <v>570.50270941521808</v>
      </c>
    </row>
    <row r="1216" spans="1:6">
      <c r="A1216" s="403">
        <v>2529</v>
      </c>
      <c r="B1216" s="403">
        <v>65</v>
      </c>
      <c r="C1216" s="166">
        <v>690</v>
      </c>
      <c r="D1216" s="166">
        <v>577</v>
      </c>
      <c r="E1216" s="166" t="s">
        <v>1102</v>
      </c>
      <c r="F1216" s="166">
        <v>570.50270941521808</v>
      </c>
    </row>
    <row r="1217" spans="1:6">
      <c r="A1217" s="403">
        <v>2530</v>
      </c>
      <c r="B1217" s="403">
        <v>65</v>
      </c>
      <c r="C1217" s="166">
        <v>690</v>
      </c>
      <c r="D1217" s="166">
        <v>577</v>
      </c>
      <c r="E1217" s="166" t="s">
        <v>1102</v>
      </c>
      <c r="F1217" s="166">
        <v>570.50270941521808</v>
      </c>
    </row>
    <row r="1218" spans="1:6">
      <c r="A1218" s="403">
        <v>2533</v>
      </c>
      <c r="B1218" s="403">
        <v>65</v>
      </c>
      <c r="C1218" s="166">
        <v>690</v>
      </c>
      <c r="D1218" s="166">
        <v>577</v>
      </c>
      <c r="E1218" s="166" t="s">
        <v>1102</v>
      </c>
      <c r="F1218" s="166">
        <v>570.50270941521808</v>
      </c>
    </row>
    <row r="1219" spans="1:6">
      <c r="A1219" s="403">
        <v>2534</v>
      </c>
      <c r="B1219" s="403">
        <v>65</v>
      </c>
      <c r="C1219" s="166">
        <v>690</v>
      </c>
      <c r="D1219" s="166">
        <v>577</v>
      </c>
      <c r="E1219" s="166" t="s">
        <v>1102</v>
      </c>
      <c r="F1219" s="166">
        <v>570.50270941521808</v>
      </c>
    </row>
    <row r="1220" spans="1:6">
      <c r="A1220" s="403">
        <v>2535</v>
      </c>
      <c r="B1220" s="403">
        <v>65</v>
      </c>
      <c r="C1220" s="166">
        <v>690</v>
      </c>
      <c r="D1220" s="166">
        <v>577</v>
      </c>
      <c r="E1220" s="166" t="s">
        <v>1102</v>
      </c>
      <c r="F1220" s="166">
        <v>570.50270941521808</v>
      </c>
    </row>
    <row r="1221" spans="1:6">
      <c r="A1221" s="403">
        <v>2536</v>
      </c>
      <c r="B1221" s="403">
        <v>65</v>
      </c>
      <c r="C1221" s="166">
        <v>690</v>
      </c>
      <c r="D1221" s="166">
        <v>577</v>
      </c>
      <c r="E1221" s="166" t="s">
        <v>1102</v>
      </c>
      <c r="F1221" s="166">
        <v>570.50270941521808</v>
      </c>
    </row>
    <row r="1222" spans="1:6">
      <c r="A1222" s="403">
        <v>2537</v>
      </c>
      <c r="B1222" s="403">
        <v>65</v>
      </c>
      <c r="C1222" s="166">
        <v>690</v>
      </c>
      <c r="D1222" s="166">
        <v>577</v>
      </c>
      <c r="E1222" s="166" t="s">
        <v>1102</v>
      </c>
      <c r="F1222" s="166">
        <v>570.50270941521808</v>
      </c>
    </row>
    <row r="1223" spans="1:6">
      <c r="A1223" s="403">
        <v>2538</v>
      </c>
      <c r="B1223" s="403">
        <v>65</v>
      </c>
      <c r="C1223" s="166">
        <v>690</v>
      </c>
      <c r="D1223" s="166">
        <v>577</v>
      </c>
      <c r="E1223" s="166" t="s">
        <v>1102</v>
      </c>
      <c r="F1223" s="166">
        <v>570.50270941521808</v>
      </c>
    </row>
    <row r="1224" spans="1:6">
      <c r="A1224" s="403">
        <v>2539</v>
      </c>
      <c r="B1224" s="403">
        <v>65</v>
      </c>
      <c r="C1224" s="166">
        <v>690</v>
      </c>
      <c r="D1224" s="166">
        <v>577</v>
      </c>
      <c r="E1224" s="166" t="s">
        <v>1102</v>
      </c>
      <c r="F1224" s="166">
        <v>570.50270941521808</v>
      </c>
    </row>
    <row r="1225" spans="1:6">
      <c r="A1225" s="403">
        <v>2540</v>
      </c>
      <c r="B1225" s="403">
        <v>65</v>
      </c>
      <c r="C1225" s="166">
        <v>690</v>
      </c>
      <c r="D1225" s="166">
        <v>577</v>
      </c>
      <c r="E1225" s="166" t="s">
        <v>1102</v>
      </c>
      <c r="F1225" s="166">
        <v>570.50270941521808</v>
      </c>
    </row>
    <row r="1226" spans="1:6">
      <c r="A1226" s="403">
        <v>2541</v>
      </c>
      <c r="B1226" s="403">
        <v>65</v>
      </c>
      <c r="C1226" s="166">
        <v>690</v>
      </c>
      <c r="D1226" s="166">
        <v>577</v>
      </c>
      <c r="E1226" s="166" t="s">
        <v>1102</v>
      </c>
      <c r="F1226" s="166">
        <v>570.50270941521808</v>
      </c>
    </row>
    <row r="1227" spans="1:6">
      <c r="A1227" s="403">
        <v>2545</v>
      </c>
      <c r="B1227" s="403">
        <v>65</v>
      </c>
      <c r="C1227" s="166">
        <v>690</v>
      </c>
      <c r="D1227" s="166">
        <v>577</v>
      </c>
      <c r="E1227" s="166" t="s">
        <v>1102</v>
      </c>
      <c r="F1227" s="166">
        <v>570.50270941521808</v>
      </c>
    </row>
    <row r="1228" spans="1:6">
      <c r="A1228" s="403">
        <v>2546</v>
      </c>
      <c r="B1228" s="403">
        <v>65</v>
      </c>
      <c r="C1228" s="166">
        <v>690</v>
      </c>
      <c r="D1228" s="166">
        <v>577</v>
      </c>
      <c r="E1228" s="166" t="s">
        <v>1102</v>
      </c>
      <c r="F1228" s="166">
        <v>570.50270941521808</v>
      </c>
    </row>
    <row r="1229" spans="1:6">
      <c r="A1229" s="403">
        <v>2548</v>
      </c>
      <c r="B1229" s="403">
        <v>65</v>
      </c>
      <c r="C1229" s="166">
        <v>690</v>
      </c>
      <c r="D1229" s="166">
        <v>577</v>
      </c>
      <c r="E1229" s="166" t="s">
        <v>1102</v>
      </c>
      <c r="F1229" s="166">
        <v>570.50270941521808</v>
      </c>
    </row>
    <row r="1230" spans="1:6">
      <c r="A1230" s="403">
        <v>2549</v>
      </c>
      <c r="B1230" s="403">
        <v>65</v>
      </c>
      <c r="C1230" s="166">
        <v>690</v>
      </c>
      <c r="D1230" s="166">
        <v>577</v>
      </c>
      <c r="E1230" s="166" t="s">
        <v>1102</v>
      </c>
      <c r="F1230" s="166">
        <v>570.50270941521808</v>
      </c>
    </row>
    <row r="1231" spans="1:6">
      <c r="A1231" s="403">
        <v>2550</v>
      </c>
      <c r="B1231" s="403">
        <v>65</v>
      </c>
      <c r="C1231" s="166">
        <v>690</v>
      </c>
      <c r="D1231" s="166">
        <v>577</v>
      </c>
      <c r="E1231" s="166" t="s">
        <v>1102</v>
      </c>
      <c r="F1231" s="166">
        <v>570.50270941521808</v>
      </c>
    </row>
    <row r="1232" spans="1:6">
      <c r="A1232" s="403">
        <v>2551</v>
      </c>
      <c r="B1232" s="403">
        <v>65</v>
      </c>
      <c r="C1232" s="166">
        <v>690</v>
      </c>
      <c r="D1232" s="166">
        <v>577</v>
      </c>
      <c r="E1232" s="166" t="s">
        <v>1102</v>
      </c>
      <c r="F1232" s="166">
        <v>570.50270941521808</v>
      </c>
    </row>
    <row r="1233" spans="1:6">
      <c r="A1233" s="403">
        <v>2558</v>
      </c>
      <c r="B1233" s="403">
        <v>63</v>
      </c>
      <c r="C1233" s="166">
        <v>642</v>
      </c>
      <c r="D1233" s="166">
        <v>541</v>
      </c>
      <c r="E1233" s="166" t="s">
        <v>1102</v>
      </c>
      <c r="F1233" s="166">
        <v>751.44065116284287</v>
      </c>
    </row>
    <row r="1234" spans="1:6">
      <c r="A1234" s="403">
        <v>2559</v>
      </c>
      <c r="B1234" s="403">
        <v>63</v>
      </c>
      <c r="C1234" s="166">
        <v>642</v>
      </c>
      <c r="D1234" s="166">
        <v>541</v>
      </c>
      <c r="E1234" s="166" t="s">
        <v>1102</v>
      </c>
      <c r="F1234" s="166">
        <v>751.44065116284287</v>
      </c>
    </row>
    <row r="1235" spans="1:6">
      <c r="A1235" s="403">
        <v>2560</v>
      </c>
      <c r="B1235" s="403">
        <v>63</v>
      </c>
      <c r="C1235" s="166">
        <v>642</v>
      </c>
      <c r="D1235" s="166">
        <v>541</v>
      </c>
      <c r="E1235" s="166" t="s">
        <v>1102</v>
      </c>
      <c r="F1235" s="166">
        <v>751.44065116284287</v>
      </c>
    </row>
    <row r="1236" spans="1:6">
      <c r="A1236" s="403">
        <v>2563</v>
      </c>
      <c r="B1236" s="403">
        <v>63</v>
      </c>
      <c r="C1236" s="166">
        <v>642</v>
      </c>
      <c r="D1236" s="166">
        <v>541</v>
      </c>
      <c r="E1236" s="166" t="s">
        <v>1102</v>
      </c>
      <c r="F1236" s="166">
        <v>751.44065116284287</v>
      </c>
    </row>
    <row r="1237" spans="1:6">
      <c r="A1237" s="403">
        <v>2564</v>
      </c>
      <c r="B1237" s="403">
        <v>63</v>
      </c>
      <c r="C1237" s="166">
        <v>642</v>
      </c>
      <c r="D1237" s="166">
        <v>541</v>
      </c>
      <c r="E1237" s="166" t="s">
        <v>1102</v>
      </c>
      <c r="F1237" s="166">
        <v>751.44065116284287</v>
      </c>
    </row>
    <row r="1238" spans="1:6">
      <c r="A1238" s="403">
        <v>2565</v>
      </c>
      <c r="B1238" s="403">
        <v>63</v>
      </c>
      <c r="C1238" s="166">
        <v>642</v>
      </c>
      <c r="D1238" s="166">
        <v>541</v>
      </c>
      <c r="E1238" s="166" t="s">
        <v>1102</v>
      </c>
      <c r="F1238" s="166">
        <v>751.44065116284287</v>
      </c>
    </row>
    <row r="1239" spans="1:6">
      <c r="A1239" s="403">
        <v>2566</v>
      </c>
      <c r="B1239" s="403">
        <v>63</v>
      </c>
      <c r="C1239" s="166">
        <v>642</v>
      </c>
      <c r="D1239" s="166">
        <v>541</v>
      </c>
      <c r="E1239" s="166" t="s">
        <v>1102</v>
      </c>
      <c r="F1239" s="166">
        <v>751.44065116284287</v>
      </c>
    </row>
    <row r="1240" spans="1:6">
      <c r="A1240" s="403">
        <v>2567</v>
      </c>
      <c r="B1240" s="403">
        <v>63</v>
      </c>
      <c r="C1240" s="166">
        <v>642</v>
      </c>
      <c r="D1240" s="166">
        <v>541</v>
      </c>
      <c r="E1240" s="166" t="s">
        <v>1102</v>
      </c>
      <c r="F1240" s="166">
        <v>751.44065116284287</v>
      </c>
    </row>
    <row r="1241" spans="1:6">
      <c r="A1241" s="403">
        <v>2568</v>
      </c>
      <c r="B1241" s="403">
        <v>63</v>
      </c>
      <c r="C1241" s="166">
        <v>642</v>
      </c>
      <c r="D1241" s="166">
        <v>541</v>
      </c>
      <c r="E1241" s="166" t="s">
        <v>1102</v>
      </c>
      <c r="F1241" s="166">
        <v>751.44065116284287</v>
      </c>
    </row>
    <row r="1242" spans="1:6">
      <c r="A1242" s="403">
        <v>2569</v>
      </c>
      <c r="B1242" s="403">
        <v>63</v>
      </c>
      <c r="C1242" s="166">
        <v>642</v>
      </c>
      <c r="D1242" s="166">
        <v>541</v>
      </c>
      <c r="E1242" s="166" t="s">
        <v>1102</v>
      </c>
      <c r="F1242" s="166">
        <v>751.44065116284287</v>
      </c>
    </row>
    <row r="1243" spans="1:6">
      <c r="A1243" s="403">
        <v>2570</v>
      </c>
      <c r="B1243" s="403">
        <v>63</v>
      </c>
      <c r="C1243" s="166">
        <v>642</v>
      </c>
      <c r="D1243" s="166">
        <v>541</v>
      </c>
      <c r="E1243" s="166" t="s">
        <v>1102</v>
      </c>
      <c r="F1243" s="166">
        <v>751.44065116284287</v>
      </c>
    </row>
    <row r="1244" spans="1:6">
      <c r="A1244" s="403">
        <v>2571</v>
      </c>
      <c r="B1244" s="403">
        <v>63</v>
      </c>
      <c r="C1244" s="166">
        <v>642</v>
      </c>
      <c r="D1244" s="166">
        <v>541</v>
      </c>
      <c r="E1244" s="166" t="s">
        <v>1102</v>
      </c>
      <c r="F1244" s="166">
        <v>751.44065116284287</v>
      </c>
    </row>
    <row r="1245" spans="1:6">
      <c r="A1245" s="403">
        <v>2572</v>
      </c>
      <c r="B1245" s="403">
        <v>63</v>
      </c>
      <c r="C1245" s="166">
        <v>642</v>
      </c>
      <c r="D1245" s="166">
        <v>541</v>
      </c>
      <c r="E1245" s="166" t="s">
        <v>1102</v>
      </c>
      <c r="F1245" s="166">
        <v>751.44065116284287</v>
      </c>
    </row>
    <row r="1246" spans="1:6">
      <c r="A1246" s="403">
        <v>2573</v>
      </c>
      <c r="B1246" s="403">
        <v>63</v>
      </c>
      <c r="C1246" s="166">
        <v>642</v>
      </c>
      <c r="D1246" s="166">
        <v>541</v>
      </c>
      <c r="E1246" s="166" t="s">
        <v>1102</v>
      </c>
      <c r="F1246" s="166">
        <v>751.44065116284287</v>
      </c>
    </row>
    <row r="1247" spans="1:6">
      <c r="A1247" s="403">
        <v>2574</v>
      </c>
      <c r="B1247" s="403">
        <v>63</v>
      </c>
      <c r="C1247" s="166">
        <v>642</v>
      </c>
      <c r="D1247" s="166">
        <v>541</v>
      </c>
      <c r="E1247" s="166" t="s">
        <v>1102</v>
      </c>
      <c r="F1247" s="166">
        <v>751.44065116284287</v>
      </c>
    </row>
    <row r="1248" spans="1:6">
      <c r="A1248" s="403">
        <v>2575</v>
      </c>
      <c r="B1248" s="403">
        <v>65</v>
      </c>
      <c r="C1248" s="166">
        <v>690</v>
      </c>
      <c r="D1248" s="166">
        <v>577</v>
      </c>
      <c r="E1248" s="166" t="s">
        <v>1102</v>
      </c>
      <c r="F1248" s="166">
        <v>570.50270941521808</v>
      </c>
    </row>
    <row r="1249" spans="1:6">
      <c r="A1249" s="403">
        <v>2576</v>
      </c>
      <c r="B1249" s="403">
        <v>65</v>
      </c>
      <c r="C1249" s="166">
        <v>690</v>
      </c>
      <c r="D1249" s="166">
        <v>577</v>
      </c>
      <c r="E1249" s="166" t="s">
        <v>1102</v>
      </c>
      <c r="F1249" s="166">
        <v>570.50270941521808</v>
      </c>
    </row>
    <row r="1250" spans="1:6">
      <c r="A1250" s="403">
        <v>2577</v>
      </c>
      <c r="B1250" s="403">
        <v>65</v>
      </c>
      <c r="C1250" s="166">
        <v>690</v>
      </c>
      <c r="D1250" s="166">
        <v>577</v>
      </c>
      <c r="E1250" s="166" t="s">
        <v>1102</v>
      </c>
      <c r="F1250" s="166">
        <v>570.50270941521808</v>
      </c>
    </row>
    <row r="1251" spans="1:6">
      <c r="A1251" s="403">
        <v>2578</v>
      </c>
      <c r="B1251" s="403">
        <v>65</v>
      </c>
      <c r="C1251" s="166">
        <v>690</v>
      </c>
      <c r="D1251" s="166">
        <v>577</v>
      </c>
      <c r="E1251" s="166" t="s">
        <v>1102</v>
      </c>
      <c r="F1251" s="166">
        <v>570.50270941521808</v>
      </c>
    </row>
    <row r="1252" spans="1:6">
      <c r="A1252" s="403">
        <v>2579</v>
      </c>
      <c r="B1252" s="403">
        <v>65</v>
      </c>
      <c r="C1252" s="166">
        <v>690</v>
      </c>
      <c r="D1252" s="166">
        <v>577</v>
      </c>
      <c r="E1252" s="166" t="s">
        <v>1102</v>
      </c>
      <c r="F1252" s="166">
        <v>570.50270941521808</v>
      </c>
    </row>
    <row r="1253" spans="1:6">
      <c r="A1253" s="403">
        <v>2580</v>
      </c>
      <c r="B1253" s="403">
        <v>64</v>
      </c>
      <c r="C1253" s="166">
        <v>2186</v>
      </c>
      <c r="D1253" s="166">
        <v>80</v>
      </c>
      <c r="E1253" s="166" t="s">
        <v>1102</v>
      </c>
      <c r="F1253" s="166">
        <v>999.79774011299048</v>
      </c>
    </row>
    <row r="1254" spans="1:6">
      <c r="A1254" s="403">
        <v>2581</v>
      </c>
      <c r="B1254" s="403">
        <v>64</v>
      </c>
      <c r="C1254" s="166">
        <v>2186</v>
      </c>
      <c r="D1254" s="166">
        <v>80</v>
      </c>
      <c r="E1254" s="166" t="s">
        <v>1102</v>
      </c>
      <c r="F1254" s="166">
        <v>999.79774011299048</v>
      </c>
    </row>
    <row r="1255" spans="1:6">
      <c r="A1255" s="403">
        <v>2582</v>
      </c>
      <c r="B1255" s="403">
        <v>64</v>
      </c>
      <c r="C1255" s="166">
        <v>2186</v>
      </c>
      <c r="D1255" s="166">
        <v>80</v>
      </c>
      <c r="E1255" s="166" t="s">
        <v>1102</v>
      </c>
      <c r="F1255" s="166">
        <v>999.79774011299048</v>
      </c>
    </row>
    <row r="1256" spans="1:6">
      <c r="A1256" s="403">
        <v>2583</v>
      </c>
      <c r="B1256" s="403">
        <v>64</v>
      </c>
      <c r="C1256" s="166">
        <v>2186</v>
      </c>
      <c r="D1256" s="166">
        <v>80</v>
      </c>
      <c r="E1256" s="166" t="s">
        <v>1102</v>
      </c>
      <c r="F1256" s="166">
        <v>999.79774011299048</v>
      </c>
    </row>
    <row r="1257" spans="1:6">
      <c r="A1257" s="403">
        <v>2584</v>
      </c>
      <c r="B1257" s="403">
        <v>57</v>
      </c>
      <c r="C1257" s="166">
        <v>1608</v>
      </c>
      <c r="D1257" s="166">
        <v>219</v>
      </c>
      <c r="E1257" s="166" t="s">
        <v>1102</v>
      </c>
      <c r="F1257" s="166">
        <v>1245.7818449612405</v>
      </c>
    </row>
    <row r="1258" spans="1:6">
      <c r="A1258" s="403">
        <v>2585</v>
      </c>
      <c r="B1258" s="403">
        <v>57</v>
      </c>
      <c r="C1258" s="166">
        <v>1608</v>
      </c>
      <c r="D1258" s="166">
        <v>219</v>
      </c>
      <c r="E1258" s="166" t="s">
        <v>1102</v>
      </c>
      <c r="F1258" s="166">
        <v>1245.7818449612405</v>
      </c>
    </row>
    <row r="1259" spans="1:6">
      <c r="A1259" s="403">
        <v>2586</v>
      </c>
      <c r="B1259" s="403">
        <v>57</v>
      </c>
      <c r="C1259" s="166">
        <v>1608</v>
      </c>
      <c r="D1259" s="166">
        <v>219</v>
      </c>
      <c r="E1259" s="166" t="s">
        <v>1102</v>
      </c>
      <c r="F1259" s="166">
        <v>1245.7818449612405</v>
      </c>
    </row>
    <row r="1260" spans="1:6">
      <c r="A1260" s="403">
        <v>2587</v>
      </c>
      <c r="B1260" s="403">
        <v>57</v>
      </c>
      <c r="C1260" s="166">
        <v>1608</v>
      </c>
      <c r="D1260" s="166">
        <v>219</v>
      </c>
      <c r="E1260" s="166" t="s">
        <v>1102</v>
      </c>
      <c r="F1260" s="166">
        <v>1245.7818449612405</v>
      </c>
    </row>
    <row r="1261" spans="1:6">
      <c r="A1261" s="403">
        <v>2588</v>
      </c>
      <c r="B1261" s="403">
        <v>57</v>
      </c>
      <c r="C1261" s="166">
        <v>1608</v>
      </c>
      <c r="D1261" s="166">
        <v>219</v>
      </c>
      <c r="E1261" s="166" t="s">
        <v>1102</v>
      </c>
      <c r="F1261" s="166">
        <v>1245.7818449612405</v>
      </c>
    </row>
    <row r="1262" spans="1:6">
      <c r="A1262" s="403">
        <v>2589</v>
      </c>
      <c r="B1262" s="403">
        <v>64</v>
      </c>
      <c r="C1262" s="166">
        <v>2186</v>
      </c>
      <c r="D1262" s="166">
        <v>80</v>
      </c>
      <c r="E1262" s="166" t="s">
        <v>1102</v>
      </c>
      <c r="F1262" s="166">
        <v>999.79774011299048</v>
      </c>
    </row>
    <row r="1263" spans="1:6">
      <c r="A1263" s="403">
        <v>2590</v>
      </c>
      <c r="B1263" s="403">
        <v>57</v>
      </c>
      <c r="C1263" s="166">
        <v>1608</v>
      </c>
      <c r="D1263" s="166">
        <v>219</v>
      </c>
      <c r="E1263" s="166" t="s">
        <v>1102</v>
      </c>
      <c r="F1263" s="166">
        <v>1245.7818449612405</v>
      </c>
    </row>
    <row r="1264" spans="1:6">
      <c r="A1264" s="403">
        <v>2594</v>
      </c>
      <c r="B1264" s="403">
        <v>57</v>
      </c>
      <c r="C1264" s="166">
        <v>1608</v>
      </c>
      <c r="D1264" s="166">
        <v>219</v>
      </c>
      <c r="E1264" s="166" t="s">
        <v>1102</v>
      </c>
      <c r="F1264" s="166">
        <v>1245.7818449612405</v>
      </c>
    </row>
    <row r="1265" spans="1:6">
      <c r="A1265" s="403">
        <v>2600</v>
      </c>
      <c r="B1265" s="403">
        <v>64</v>
      </c>
      <c r="C1265" s="166">
        <v>2186</v>
      </c>
      <c r="D1265" s="166">
        <v>80</v>
      </c>
      <c r="E1265" s="166" t="s">
        <v>1101</v>
      </c>
      <c r="F1265" s="166">
        <v>999.79774011299048</v>
      </c>
    </row>
    <row r="1266" spans="1:6">
      <c r="A1266" s="403">
        <v>2601</v>
      </c>
      <c r="B1266" s="403">
        <v>64</v>
      </c>
      <c r="C1266" s="166">
        <v>2186</v>
      </c>
      <c r="D1266" s="166">
        <v>80</v>
      </c>
      <c r="E1266" s="166" t="s">
        <v>1101</v>
      </c>
      <c r="F1266" s="166">
        <v>999.79774011299048</v>
      </c>
    </row>
    <row r="1267" spans="1:6">
      <c r="A1267" s="403">
        <v>2602</v>
      </c>
      <c r="B1267" s="403">
        <v>64</v>
      </c>
      <c r="C1267" s="166">
        <v>2186</v>
      </c>
      <c r="D1267" s="166">
        <v>80</v>
      </c>
      <c r="E1267" s="166" t="s">
        <v>1101</v>
      </c>
      <c r="F1267" s="166">
        <v>999.79774011299048</v>
      </c>
    </row>
    <row r="1268" spans="1:6">
      <c r="A1268" s="403">
        <v>2603</v>
      </c>
      <c r="B1268" s="403">
        <v>64</v>
      </c>
      <c r="C1268" s="166">
        <v>2186</v>
      </c>
      <c r="D1268" s="166">
        <v>80</v>
      </c>
      <c r="E1268" s="166" t="s">
        <v>1101</v>
      </c>
      <c r="F1268" s="166">
        <v>999.79774011299048</v>
      </c>
    </row>
    <row r="1269" spans="1:6">
      <c r="A1269" s="403">
        <v>2604</v>
      </c>
      <c r="B1269" s="403">
        <v>64</v>
      </c>
      <c r="C1269" s="166">
        <v>2186</v>
      </c>
      <c r="D1269" s="166">
        <v>80</v>
      </c>
      <c r="E1269" s="166" t="s">
        <v>1101</v>
      </c>
      <c r="F1269" s="166">
        <v>999.79774011299048</v>
      </c>
    </row>
    <row r="1270" spans="1:6">
      <c r="A1270" s="403">
        <v>2605</v>
      </c>
      <c r="B1270" s="403">
        <v>64</v>
      </c>
      <c r="C1270" s="166">
        <v>2186</v>
      </c>
      <c r="D1270" s="166">
        <v>80</v>
      </c>
      <c r="E1270" s="166" t="s">
        <v>1101</v>
      </c>
      <c r="F1270" s="166">
        <v>999.79774011299048</v>
      </c>
    </row>
    <row r="1271" spans="1:6">
      <c r="A1271" s="403">
        <v>2606</v>
      </c>
      <c r="B1271" s="403">
        <v>64</v>
      </c>
      <c r="C1271" s="166">
        <v>2186</v>
      </c>
      <c r="D1271" s="166">
        <v>80</v>
      </c>
      <c r="E1271" s="166" t="s">
        <v>1101</v>
      </c>
      <c r="F1271" s="166">
        <v>999.79774011299048</v>
      </c>
    </row>
    <row r="1272" spans="1:6">
      <c r="A1272" s="403">
        <v>2607</v>
      </c>
      <c r="B1272" s="403">
        <v>64</v>
      </c>
      <c r="C1272" s="166">
        <v>2186</v>
      </c>
      <c r="D1272" s="166">
        <v>80</v>
      </c>
      <c r="E1272" s="166" t="s">
        <v>1101</v>
      </c>
      <c r="F1272" s="166">
        <v>999.79774011299048</v>
      </c>
    </row>
    <row r="1273" spans="1:6">
      <c r="A1273" s="403">
        <v>2608</v>
      </c>
      <c r="B1273" s="403">
        <v>64</v>
      </c>
      <c r="C1273" s="166">
        <v>2186</v>
      </c>
      <c r="D1273" s="166">
        <v>80</v>
      </c>
      <c r="E1273" s="166" t="s">
        <v>1101</v>
      </c>
      <c r="F1273" s="166">
        <v>999.79774011299048</v>
      </c>
    </row>
    <row r="1274" spans="1:6">
      <c r="A1274" s="403">
        <v>2609</v>
      </c>
      <c r="B1274" s="403">
        <v>64</v>
      </c>
      <c r="C1274" s="166">
        <v>2186</v>
      </c>
      <c r="D1274" s="166">
        <v>80</v>
      </c>
      <c r="E1274" s="166" t="s">
        <v>1101</v>
      </c>
      <c r="F1274" s="166">
        <v>999.79774011299048</v>
      </c>
    </row>
    <row r="1275" spans="1:6">
      <c r="A1275" s="403">
        <v>2610</v>
      </c>
      <c r="B1275" s="403">
        <v>64</v>
      </c>
      <c r="C1275" s="166">
        <v>2186</v>
      </c>
      <c r="D1275" s="166">
        <v>80</v>
      </c>
      <c r="E1275" s="166" t="s">
        <v>1101</v>
      </c>
      <c r="F1275" s="166">
        <v>999.79774011299048</v>
      </c>
    </row>
    <row r="1276" spans="1:6">
      <c r="A1276" s="403">
        <v>2611</v>
      </c>
      <c r="B1276" s="403">
        <v>64</v>
      </c>
      <c r="C1276" s="166">
        <v>2186</v>
      </c>
      <c r="D1276" s="166">
        <v>80</v>
      </c>
      <c r="E1276" s="166" t="s">
        <v>1101</v>
      </c>
      <c r="F1276" s="166">
        <v>999.79774011299048</v>
      </c>
    </row>
    <row r="1277" spans="1:6">
      <c r="A1277" s="403">
        <v>2612</v>
      </c>
      <c r="B1277" s="403">
        <v>64</v>
      </c>
      <c r="C1277" s="166">
        <v>2186</v>
      </c>
      <c r="D1277" s="166">
        <v>80</v>
      </c>
      <c r="E1277" s="166" t="s">
        <v>1101</v>
      </c>
      <c r="F1277" s="166">
        <v>999.79774011299048</v>
      </c>
    </row>
    <row r="1278" spans="1:6">
      <c r="A1278" s="403">
        <v>2614</v>
      </c>
      <c r="B1278" s="403">
        <v>64</v>
      </c>
      <c r="C1278" s="166">
        <v>2186</v>
      </c>
      <c r="D1278" s="166">
        <v>80</v>
      </c>
      <c r="E1278" s="166" t="s">
        <v>1101</v>
      </c>
      <c r="F1278" s="166">
        <v>999.79774011299048</v>
      </c>
    </row>
    <row r="1279" spans="1:6">
      <c r="A1279" s="403">
        <v>2615</v>
      </c>
      <c r="B1279" s="403">
        <v>64</v>
      </c>
      <c r="C1279" s="166">
        <v>2186</v>
      </c>
      <c r="D1279" s="166">
        <v>80</v>
      </c>
      <c r="E1279" s="166" t="s">
        <v>1101</v>
      </c>
      <c r="F1279" s="166">
        <v>999.79774011299048</v>
      </c>
    </row>
    <row r="1280" spans="1:6">
      <c r="A1280" s="403">
        <v>2616</v>
      </c>
      <c r="B1280" s="403">
        <v>64</v>
      </c>
      <c r="C1280" s="166">
        <v>2186</v>
      </c>
      <c r="D1280" s="166">
        <v>80</v>
      </c>
      <c r="E1280" s="166" t="s">
        <v>1101</v>
      </c>
      <c r="F1280" s="166">
        <v>999.79774011299048</v>
      </c>
    </row>
    <row r="1281" spans="1:6">
      <c r="A1281" s="403">
        <v>2617</v>
      </c>
      <c r="B1281" s="403">
        <v>64</v>
      </c>
      <c r="C1281" s="166">
        <v>2186</v>
      </c>
      <c r="D1281" s="166">
        <v>80</v>
      </c>
      <c r="E1281" s="166" t="s">
        <v>1101</v>
      </c>
      <c r="F1281" s="166">
        <v>999.79774011299048</v>
      </c>
    </row>
    <row r="1282" spans="1:6">
      <c r="A1282" s="403">
        <v>2618</v>
      </c>
      <c r="B1282" s="403">
        <v>64</v>
      </c>
      <c r="C1282" s="166">
        <v>2186</v>
      </c>
      <c r="D1282" s="166">
        <v>80</v>
      </c>
      <c r="E1282" s="166" t="s">
        <v>1101</v>
      </c>
      <c r="F1282" s="166">
        <v>999.79774011299048</v>
      </c>
    </row>
    <row r="1283" spans="1:6">
      <c r="A1283" s="403">
        <v>2619</v>
      </c>
      <c r="B1283" s="403">
        <v>64</v>
      </c>
      <c r="C1283" s="166">
        <v>2186</v>
      </c>
      <c r="D1283" s="166">
        <v>80</v>
      </c>
      <c r="E1283" s="166" t="s">
        <v>1102</v>
      </c>
      <c r="F1283" s="166">
        <v>999.79774011299048</v>
      </c>
    </row>
    <row r="1284" spans="1:6">
      <c r="A1284" s="403">
        <v>2620</v>
      </c>
      <c r="B1284" s="403">
        <v>64</v>
      </c>
      <c r="C1284" s="166">
        <v>2186</v>
      </c>
      <c r="D1284" s="166">
        <v>80</v>
      </c>
      <c r="E1284" s="166" t="s">
        <v>1102</v>
      </c>
      <c r="F1284" s="166">
        <v>999.79774011299048</v>
      </c>
    </row>
    <row r="1285" spans="1:6">
      <c r="A1285" s="403">
        <v>2621</v>
      </c>
      <c r="B1285" s="403">
        <v>64</v>
      </c>
      <c r="C1285" s="166">
        <v>2186</v>
      </c>
      <c r="D1285" s="166">
        <v>80</v>
      </c>
      <c r="E1285" s="166" t="s">
        <v>1102</v>
      </c>
      <c r="F1285" s="166">
        <v>999.79774011299048</v>
      </c>
    </row>
    <row r="1286" spans="1:6">
      <c r="A1286" s="403">
        <v>2622</v>
      </c>
      <c r="B1286" s="403">
        <v>64</v>
      </c>
      <c r="C1286" s="166">
        <v>2186</v>
      </c>
      <c r="D1286" s="166">
        <v>80</v>
      </c>
      <c r="E1286" s="166" t="s">
        <v>1102</v>
      </c>
      <c r="F1286" s="166">
        <v>999.79774011299048</v>
      </c>
    </row>
    <row r="1287" spans="1:6">
      <c r="A1287" s="403">
        <v>2623</v>
      </c>
      <c r="B1287" s="403">
        <v>64</v>
      </c>
      <c r="C1287" s="166">
        <v>2186</v>
      </c>
      <c r="D1287" s="166">
        <v>80</v>
      </c>
      <c r="E1287" s="166" t="s">
        <v>1102</v>
      </c>
      <c r="F1287" s="166">
        <v>999.79774011299048</v>
      </c>
    </row>
    <row r="1288" spans="1:6">
      <c r="A1288" s="403">
        <v>2624</v>
      </c>
      <c r="B1288" s="403">
        <v>57</v>
      </c>
      <c r="C1288" s="166">
        <v>1608</v>
      </c>
      <c r="D1288" s="166">
        <v>219</v>
      </c>
      <c r="E1288" s="166" t="s">
        <v>1102</v>
      </c>
      <c r="F1288" s="166">
        <v>1245.7818449612405</v>
      </c>
    </row>
    <row r="1289" spans="1:6">
      <c r="A1289" s="403">
        <v>2625</v>
      </c>
      <c r="B1289" s="403">
        <v>57</v>
      </c>
      <c r="C1289" s="166">
        <v>1608</v>
      </c>
      <c r="D1289" s="166">
        <v>219</v>
      </c>
      <c r="E1289" s="166" t="s">
        <v>1102</v>
      </c>
      <c r="F1289" s="166">
        <v>1245.7818449612405</v>
      </c>
    </row>
    <row r="1290" spans="1:6">
      <c r="A1290" s="403">
        <v>2626</v>
      </c>
      <c r="B1290" s="403">
        <v>64</v>
      </c>
      <c r="C1290" s="166">
        <v>2186</v>
      </c>
      <c r="D1290" s="166">
        <v>80</v>
      </c>
      <c r="E1290" s="166" t="s">
        <v>1102</v>
      </c>
      <c r="F1290" s="166">
        <v>999.79774011299048</v>
      </c>
    </row>
    <row r="1291" spans="1:6">
      <c r="A1291" s="403">
        <v>2627</v>
      </c>
      <c r="B1291" s="403">
        <v>64</v>
      </c>
      <c r="C1291" s="166">
        <v>2186</v>
      </c>
      <c r="D1291" s="166">
        <v>80</v>
      </c>
      <c r="E1291" s="166" t="s">
        <v>1102</v>
      </c>
      <c r="F1291" s="166">
        <v>999.79774011299048</v>
      </c>
    </row>
    <row r="1292" spans="1:6">
      <c r="A1292" s="403">
        <v>2628</v>
      </c>
      <c r="B1292" s="403">
        <v>64</v>
      </c>
      <c r="C1292" s="166">
        <v>2186</v>
      </c>
      <c r="D1292" s="166">
        <v>80</v>
      </c>
      <c r="E1292" s="166" t="s">
        <v>1102</v>
      </c>
      <c r="F1292" s="166">
        <v>999.79774011299048</v>
      </c>
    </row>
    <row r="1293" spans="1:6">
      <c r="A1293" s="403">
        <v>2630</v>
      </c>
      <c r="B1293" s="403">
        <v>64</v>
      </c>
      <c r="C1293" s="166">
        <v>2186</v>
      </c>
      <c r="D1293" s="166">
        <v>80</v>
      </c>
      <c r="E1293" s="166" t="s">
        <v>1102</v>
      </c>
      <c r="F1293" s="166">
        <v>999.79774011299048</v>
      </c>
    </row>
    <row r="1294" spans="1:6">
      <c r="A1294" s="403">
        <v>2631</v>
      </c>
      <c r="B1294" s="403">
        <v>64</v>
      </c>
      <c r="C1294" s="166">
        <v>2186</v>
      </c>
      <c r="D1294" s="166">
        <v>80</v>
      </c>
      <c r="E1294" s="166" t="s">
        <v>1102</v>
      </c>
      <c r="F1294" s="166">
        <v>999.79774011299048</v>
      </c>
    </row>
    <row r="1295" spans="1:6">
      <c r="A1295" s="403">
        <v>2632</v>
      </c>
      <c r="B1295" s="403">
        <v>64</v>
      </c>
      <c r="C1295" s="166">
        <v>2186</v>
      </c>
      <c r="D1295" s="166">
        <v>80</v>
      </c>
      <c r="E1295" s="166" t="s">
        <v>1102</v>
      </c>
      <c r="F1295" s="166">
        <v>999.79774011299048</v>
      </c>
    </row>
    <row r="1296" spans="1:6">
      <c r="A1296" s="403">
        <v>2633</v>
      </c>
      <c r="B1296" s="403">
        <v>64</v>
      </c>
      <c r="C1296" s="166">
        <v>2186</v>
      </c>
      <c r="D1296" s="166">
        <v>80</v>
      </c>
      <c r="E1296" s="166" t="s">
        <v>1102</v>
      </c>
      <c r="F1296" s="166">
        <v>999.79774011299048</v>
      </c>
    </row>
    <row r="1297" spans="1:6">
      <c r="A1297" s="403">
        <v>2640</v>
      </c>
      <c r="B1297" s="403">
        <v>57</v>
      </c>
      <c r="C1297" s="166">
        <v>1608</v>
      </c>
      <c r="D1297" s="166">
        <v>219</v>
      </c>
      <c r="E1297" s="166" t="s">
        <v>1102</v>
      </c>
      <c r="F1297" s="166">
        <v>1245.7818449612405</v>
      </c>
    </row>
    <row r="1298" spans="1:6">
      <c r="A1298" s="403">
        <v>2641</v>
      </c>
      <c r="B1298" s="403">
        <v>57</v>
      </c>
      <c r="C1298" s="166">
        <v>1608</v>
      </c>
      <c r="D1298" s="166">
        <v>219</v>
      </c>
      <c r="E1298" s="166" t="s">
        <v>1102</v>
      </c>
      <c r="F1298" s="166">
        <v>1245.7818449612405</v>
      </c>
    </row>
    <row r="1299" spans="1:6">
      <c r="A1299" s="403">
        <v>2642</v>
      </c>
      <c r="B1299" s="403">
        <v>57</v>
      </c>
      <c r="C1299" s="166">
        <v>1608</v>
      </c>
      <c r="D1299" s="166">
        <v>219</v>
      </c>
      <c r="E1299" s="166" t="s">
        <v>1102</v>
      </c>
      <c r="F1299" s="166">
        <v>1245.7818449612405</v>
      </c>
    </row>
    <row r="1300" spans="1:6">
      <c r="A1300" s="403">
        <v>2643</v>
      </c>
      <c r="B1300" s="403">
        <v>57</v>
      </c>
      <c r="C1300" s="166">
        <v>1608</v>
      </c>
      <c r="D1300" s="166">
        <v>219</v>
      </c>
      <c r="E1300" s="166" t="s">
        <v>1102</v>
      </c>
      <c r="F1300" s="166">
        <v>1245.7818449612405</v>
      </c>
    </row>
    <row r="1301" spans="1:6">
      <c r="A1301" s="403">
        <v>2644</v>
      </c>
      <c r="B1301" s="403">
        <v>57</v>
      </c>
      <c r="C1301" s="166">
        <v>1608</v>
      </c>
      <c r="D1301" s="166">
        <v>219</v>
      </c>
      <c r="E1301" s="166" t="s">
        <v>1102</v>
      </c>
      <c r="F1301" s="166">
        <v>1245.7818449612405</v>
      </c>
    </row>
    <row r="1302" spans="1:6">
      <c r="A1302" s="403">
        <v>2645</v>
      </c>
      <c r="B1302" s="403">
        <v>54</v>
      </c>
      <c r="C1302" s="166">
        <v>1330</v>
      </c>
      <c r="D1302" s="166">
        <v>358</v>
      </c>
      <c r="E1302" s="166" t="s">
        <v>1102</v>
      </c>
      <c r="F1302" s="166">
        <v>1339.9783636363634</v>
      </c>
    </row>
    <row r="1303" spans="1:6">
      <c r="A1303" s="403">
        <v>2646</v>
      </c>
      <c r="B1303" s="403">
        <v>54</v>
      </c>
      <c r="C1303" s="166">
        <v>1330</v>
      </c>
      <c r="D1303" s="166">
        <v>358</v>
      </c>
      <c r="E1303" s="166" t="s">
        <v>1102</v>
      </c>
      <c r="F1303" s="166">
        <v>1339.9783636363634</v>
      </c>
    </row>
    <row r="1304" spans="1:6">
      <c r="A1304" s="403">
        <v>2647</v>
      </c>
      <c r="B1304" s="403">
        <v>54</v>
      </c>
      <c r="C1304" s="166">
        <v>1330</v>
      </c>
      <c r="D1304" s="166">
        <v>358</v>
      </c>
      <c r="E1304" s="166" t="s">
        <v>1102</v>
      </c>
      <c r="F1304" s="166">
        <v>1339.9783636363634</v>
      </c>
    </row>
    <row r="1305" spans="1:6">
      <c r="A1305" s="403">
        <v>2648</v>
      </c>
      <c r="B1305" s="403">
        <v>53</v>
      </c>
      <c r="C1305" s="166">
        <v>1112</v>
      </c>
      <c r="D1305" s="166">
        <v>230</v>
      </c>
      <c r="E1305" s="166" t="s">
        <v>1102</v>
      </c>
      <c r="F1305" s="166">
        <v>2454.8359472049692</v>
      </c>
    </row>
    <row r="1306" spans="1:6">
      <c r="A1306" s="403">
        <v>2649</v>
      </c>
      <c r="B1306" s="403">
        <v>57</v>
      </c>
      <c r="C1306" s="166">
        <v>1608</v>
      </c>
      <c r="D1306" s="166">
        <v>219</v>
      </c>
      <c r="E1306" s="166" t="s">
        <v>1102</v>
      </c>
      <c r="F1306" s="166">
        <v>1245.7818449612405</v>
      </c>
    </row>
    <row r="1307" spans="1:6">
      <c r="A1307" s="403">
        <v>2650</v>
      </c>
      <c r="B1307" s="403">
        <v>57</v>
      </c>
      <c r="C1307" s="166">
        <v>1608</v>
      </c>
      <c r="D1307" s="166">
        <v>219</v>
      </c>
      <c r="E1307" s="166" t="s">
        <v>1102</v>
      </c>
      <c r="F1307" s="166">
        <v>1245.7818449612405</v>
      </c>
    </row>
    <row r="1308" spans="1:6">
      <c r="A1308" s="403">
        <v>2651</v>
      </c>
      <c r="B1308" s="403">
        <v>57</v>
      </c>
      <c r="C1308" s="166">
        <v>1608</v>
      </c>
      <c r="D1308" s="166">
        <v>219</v>
      </c>
      <c r="E1308" s="166" t="s">
        <v>1102</v>
      </c>
      <c r="F1308" s="166">
        <v>1245.7818449612405</v>
      </c>
    </row>
    <row r="1309" spans="1:6">
      <c r="A1309" s="403">
        <v>2652</v>
      </c>
      <c r="B1309" s="403">
        <v>54</v>
      </c>
      <c r="C1309" s="166">
        <v>1330</v>
      </c>
      <c r="D1309" s="166">
        <v>358</v>
      </c>
      <c r="E1309" s="166" t="s">
        <v>1102</v>
      </c>
      <c r="F1309" s="166">
        <v>1339.9783636363634</v>
      </c>
    </row>
    <row r="1310" spans="1:6">
      <c r="A1310" s="403">
        <v>2653</v>
      </c>
      <c r="B1310" s="403">
        <v>57</v>
      </c>
      <c r="C1310" s="166">
        <v>1608</v>
      </c>
      <c r="D1310" s="166">
        <v>219</v>
      </c>
      <c r="E1310" s="166" t="s">
        <v>1102</v>
      </c>
      <c r="F1310" s="166">
        <v>1245.7818449612405</v>
      </c>
    </row>
    <row r="1311" spans="1:6">
      <c r="A1311" s="403">
        <v>2655</v>
      </c>
      <c r="B1311" s="403">
        <v>54</v>
      </c>
      <c r="C1311" s="166">
        <v>1330</v>
      </c>
      <c r="D1311" s="166">
        <v>358</v>
      </c>
      <c r="E1311" s="166" t="s">
        <v>1102</v>
      </c>
      <c r="F1311" s="166">
        <v>1339.9783636363634</v>
      </c>
    </row>
    <row r="1312" spans="1:6">
      <c r="A1312" s="403">
        <v>2656</v>
      </c>
      <c r="B1312" s="403">
        <v>54</v>
      </c>
      <c r="C1312" s="166">
        <v>1330</v>
      </c>
      <c r="D1312" s="166">
        <v>358</v>
      </c>
      <c r="E1312" s="166" t="s">
        <v>1102</v>
      </c>
      <c r="F1312" s="166">
        <v>1339.9783636363634</v>
      </c>
    </row>
    <row r="1313" spans="1:6">
      <c r="A1313" s="403">
        <v>2658</v>
      </c>
      <c r="B1313" s="403">
        <v>54</v>
      </c>
      <c r="C1313" s="166">
        <v>1330</v>
      </c>
      <c r="D1313" s="166">
        <v>358</v>
      </c>
      <c r="E1313" s="166" t="s">
        <v>1102</v>
      </c>
      <c r="F1313" s="166">
        <v>1339.9783636363634</v>
      </c>
    </row>
    <row r="1314" spans="1:6">
      <c r="A1314" s="403">
        <v>2659</v>
      </c>
      <c r="B1314" s="403">
        <v>54</v>
      </c>
      <c r="C1314" s="166">
        <v>1330</v>
      </c>
      <c r="D1314" s="166">
        <v>358</v>
      </c>
      <c r="E1314" s="166" t="s">
        <v>1102</v>
      </c>
      <c r="F1314" s="166">
        <v>1339.9783636363634</v>
      </c>
    </row>
    <row r="1315" spans="1:6">
      <c r="A1315" s="403">
        <v>2660</v>
      </c>
      <c r="B1315" s="403">
        <v>54</v>
      </c>
      <c r="C1315" s="166">
        <v>1330</v>
      </c>
      <c r="D1315" s="166">
        <v>358</v>
      </c>
      <c r="E1315" s="166" t="s">
        <v>1102</v>
      </c>
      <c r="F1315" s="166">
        <v>1339.9783636363634</v>
      </c>
    </row>
    <row r="1316" spans="1:6">
      <c r="A1316" s="403">
        <v>2661</v>
      </c>
      <c r="B1316" s="403">
        <v>54</v>
      </c>
      <c r="C1316" s="166">
        <v>1330</v>
      </c>
      <c r="D1316" s="166">
        <v>358</v>
      </c>
      <c r="E1316" s="166" t="s">
        <v>1102</v>
      </c>
      <c r="F1316" s="166">
        <v>1339.9783636363634</v>
      </c>
    </row>
    <row r="1317" spans="1:6">
      <c r="A1317" s="403">
        <v>2663</v>
      </c>
      <c r="B1317" s="403">
        <v>54</v>
      </c>
      <c r="C1317" s="166">
        <v>1330</v>
      </c>
      <c r="D1317" s="166">
        <v>358</v>
      </c>
      <c r="E1317" s="166" t="s">
        <v>1102</v>
      </c>
      <c r="F1317" s="166">
        <v>1339.9783636363634</v>
      </c>
    </row>
    <row r="1318" spans="1:6">
      <c r="A1318" s="403">
        <v>2665</v>
      </c>
      <c r="B1318" s="403">
        <v>54</v>
      </c>
      <c r="C1318" s="166">
        <v>1330</v>
      </c>
      <c r="D1318" s="166">
        <v>358</v>
      </c>
      <c r="E1318" s="166" t="s">
        <v>1102</v>
      </c>
      <c r="F1318" s="166">
        <v>1339.9783636363634</v>
      </c>
    </row>
    <row r="1319" spans="1:6">
      <c r="A1319" s="403">
        <v>2666</v>
      </c>
      <c r="B1319" s="403">
        <v>57</v>
      </c>
      <c r="C1319" s="166">
        <v>1608</v>
      </c>
      <c r="D1319" s="166">
        <v>219</v>
      </c>
      <c r="E1319" s="166" t="s">
        <v>1102</v>
      </c>
      <c r="F1319" s="166">
        <v>1245.7818449612405</v>
      </c>
    </row>
    <row r="1320" spans="1:6">
      <c r="A1320" s="403">
        <v>2668</v>
      </c>
      <c r="B1320" s="403">
        <v>57</v>
      </c>
      <c r="C1320" s="166">
        <v>1608</v>
      </c>
      <c r="D1320" s="166">
        <v>219</v>
      </c>
      <c r="E1320" s="166" t="s">
        <v>1102</v>
      </c>
      <c r="F1320" s="166">
        <v>1245.7818449612405</v>
      </c>
    </row>
    <row r="1321" spans="1:6">
      <c r="A1321" s="403">
        <v>2669</v>
      </c>
      <c r="B1321" s="403">
        <v>56</v>
      </c>
      <c r="C1321" s="166">
        <v>1164</v>
      </c>
      <c r="D1321" s="166">
        <v>283</v>
      </c>
      <c r="E1321" s="166" t="s">
        <v>1102</v>
      </c>
      <c r="F1321" s="166">
        <v>1552.0221730308053</v>
      </c>
    </row>
    <row r="1322" spans="1:6">
      <c r="A1322" s="403">
        <v>2671</v>
      </c>
      <c r="B1322" s="403">
        <v>56</v>
      </c>
      <c r="C1322" s="166">
        <v>1164</v>
      </c>
      <c r="D1322" s="166">
        <v>283</v>
      </c>
      <c r="E1322" s="166" t="s">
        <v>1102</v>
      </c>
      <c r="F1322" s="166">
        <v>1552.0221730308053</v>
      </c>
    </row>
    <row r="1323" spans="1:6">
      <c r="A1323" s="403">
        <v>2672</v>
      </c>
      <c r="B1323" s="403">
        <v>54</v>
      </c>
      <c r="C1323" s="166">
        <v>1330</v>
      </c>
      <c r="D1323" s="166">
        <v>358</v>
      </c>
      <c r="E1323" s="166" t="s">
        <v>1102</v>
      </c>
      <c r="F1323" s="166">
        <v>1339.9783636363634</v>
      </c>
    </row>
    <row r="1324" spans="1:6">
      <c r="A1324" s="403">
        <v>2675</v>
      </c>
      <c r="B1324" s="403">
        <v>54</v>
      </c>
      <c r="C1324" s="166">
        <v>1330</v>
      </c>
      <c r="D1324" s="166">
        <v>358</v>
      </c>
      <c r="E1324" s="166" t="s">
        <v>1102</v>
      </c>
      <c r="F1324" s="166">
        <v>1339.9783636363634</v>
      </c>
    </row>
    <row r="1325" spans="1:6">
      <c r="A1325" s="403">
        <v>2678</v>
      </c>
      <c r="B1325" s="403">
        <v>54</v>
      </c>
      <c r="C1325" s="166">
        <v>1330</v>
      </c>
      <c r="D1325" s="166">
        <v>358</v>
      </c>
      <c r="E1325" s="166" t="s">
        <v>1102</v>
      </c>
      <c r="F1325" s="166">
        <v>1339.9783636363634</v>
      </c>
    </row>
    <row r="1326" spans="1:6">
      <c r="A1326" s="403">
        <v>2680</v>
      </c>
      <c r="B1326" s="403">
        <v>54</v>
      </c>
      <c r="C1326" s="166">
        <v>1330</v>
      </c>
      <c r="D1326" s="166">
        <v>358</v>
      </c>
      <c r="E1326" s="166" t="s">
        <v>1102</v>
      </c>
      <c r="F1326" s="166">
        <v>1339.9783636363634</v>
      </c>
    </row>
    <row r="1327" spans="1:6">
      <c r="A1327" s="403">
        <v>2681</v>
      </c>
      <c r="B1327" s="403">
        <v>54</v>
      </c>
      <c r="C1327" s="166">
        <v>1330</v>
      </c>
      <c r="D1327" s="166">
        <v>358</v>
      </c>
      <c r="E1327" s="166" t="s">
        <v>1102</v>
      </c>
      <c r="F1327" s="166">
        <v>1339.9783636363634</v>
      </c>
    </row>
    <row r="1328" spans="1:6">
      <c r="A1328" s="403">
        <v>2700</v>
      </c>
      <c r="B1328" s="403">
        <v>54</v>
      </c>
      <c r="C1328" s="166">
        <v>1330</v>
      </c>
      <c r="D1328" s="166">
        <v>358</v>
      </c>
      <c r="E1328" s="166" t="s">
        <v>1102</v>
      </c>
      <c r="F1328" s="166">
        <v>1339.9783636363634</v>
      </c>
    </row>
    <row r="1329" spans="1:6">
      <c r="A1329" s="403">
        <v>2701</v>
      </c>
      <c r="B1329" s="403">
        <v>54</v>
      </c>
      <c r="C1329" s="166">
        <v>1330</v>
      </c>
      <c r="D1329" s="166">
        <v>358</v>
      </c>
      <c r="E1329" s="166" t="s">
        <v>1102</v>
      </c>
      <c r="F1329" s="166">
        <v>1339.9783636363634</v>
      </c>
    </row>
    <row r="1330" spans="1:6">
      <c r="A1330" s="403">
        <v>2702</v>
      </c>
      <c r="B1330" s="403">
        <v>54</v>
      </c>
      <c r="C1330" s="166">
        <v>1330</v>
      </c>
      <c r="D1330" s="166">
        <v>358</v>
      </c>
      <c r="E1330" s="166" t="s">
        <v>1102</v>
      </c>
      <c r="F1330" s="166">
        <v>1339.9783636363634</v>
      </c>
    </row>
    <row r="1331" spans="1:6">
      <c r="A1331" s="403">
        <v>2703</v>
      </c>
      <c r="B1331" s="403">
        <v>54</v>
      </c>
      <c r="C1331" s="166">
        <v>1330</v>
      </c>
      <c r="D1331" s="166">
        <v>358</v>
      </c>
      <c r="E1331" s="166" t="s">
        <v>1102</v>
      </c>
      <c r="F1331" s="166">
        <v>1339.9783636363634</v>
      </c>
    </row>
    <row r="1332" spans="1:6">
      <c r="A1332" s="403">
        <v>2705</v>
      </c>
      <c r="B1332" s="403">
        <v>54</v>
      </c>
      <c r="C1332" s="166">
        <v>1330</v>
      </c>
      <c r="D1332" s="166">
        <v>358</v>
      </c>
      <c r="E1332" s="166" t="s">
        <v>1102</v>
      </c>
      <c r="F1332" s="166">
        <v>1339.9783636363634</v>
      </c>
    </row>
    <row r="1333" spans="1:6">
      <c r="A1333" s="403">
        <v>2706</v>
      </c>
      <c r="B1333" s="403">
        <v>54</v>
      </c>
      <c r="C1333" s="166">
        <v>1330</v>
      </c>
      <c r="D1333" s="166">
        <v>358</v>
      </c>
      <c r="E1333" s="166" t="s">
        <v>1102</v>
      </c>
      <c r="F1333" s="166">
        <v>1339.9783636363634</v>
      </c>
    </row>
    <row r="1334" spans="1:6">
      <c r="A1334" s="403">
        <v>2707</v>
      </c>
      <c r="B1334" s="403">
        <v>54</v>
      </c>
      <c r="C1334" s="166">
        <v>1330</v>
      </c>
      <c r="D1334" s="166">
        <v>358</v>
      </c>
      <c r="E1334" s="166" t="s">
        <v>1102</v>
      </c>
      <c r="F1334" s="166">
        <v>1339.9783636363634</v>
      </c>
    </row>
    <row r="1335" spans="1:6">
      <c r="A1335" s="403">
        <v>2708</v>
      </c>
      <c r="B1335" s="403">
        <v>54</v>
      </c>
      <c r="C1335" s="166">
        <v>1330</v>
      </c>
      <c r="D1335" s="166">
        <v>358</v>
      </c>
      <c r="E1335" s="166" t="s">
        <v>1102</v>
      </c>
      <c r="F1335" s="166">
        <v>1339.9783636363634</v>
      </c>
    </row>
    <row r="1336" spans="1:6">
      <c r="A1336" s="403">
        <v>2710</v>
      </c>
      <c r="B1336" s="403">
        <v>54</v>
      </c>
      <c r="C1336" s="166">
        <v>1330</v>
      </c>
      <c r="D1336" s="166">
        <v>358</v>
      </c>
      <c r="E1336" s="166" t="s">
        <v>1102</v>
      </c>
      <c r="F1336" s="166">
        <v>1339.9783636363634</v>
      </c>
    </row>
    <row r="1337" spans="1:6">
      <c r="A1337" s="403">
        <v>2711</v>
      </c>
      <c r="B1337" s="403">
        <v>54</v>
      </c>
      <c r="C1337" s="166">
        <v>1330</v>
      </c>
      <c r="D1337" s="166">
        <v>358</v>
      </c>
      <c r="E1337" s="166" t="s">
        <v>1102</v>
      </c>
      <c r="F1337" s="166">
        <v>1339.9783636363634</v>
      </c>
    </row>
    <row r="1338" spans="1:6">
      <c r="A1338" s="403">
        <v>2712</v>
      </c>
      <c r="B1338" s="403">
        <v>54</v>
      </c>
      <c r="C1338" s="166">
        <v>1330</v>
      </c>
      <c r="D1338" s="166">
        <v>358</v>
      </c>
      <c r="E1338" s="166" t="s">
        <v>1102</v>
      </c>
      <c r="F1338" s="166">
        <v>1339.9783636363634</v>
      </c>
    </row>
    <row r="1339" spans="1:6">
      <c r="A1339" s="403">
        <v>2713</v>
      </c>
      <c r="B1339" s="403">
        <v>54</v>
      </c>
      <c r="C1339" s="166">
        <v>1330</v>
      </c>
      <c r="D1339" s="166">
        <v>358</v>
      </c>
      <c r="E1339" s="166" t="s">
        <v>1102</v>
      </c>
      <c r="F1339" s="166">
        <v>1339.9783636363634</v>
      </c>
    </row>
    <row r="1340" spans="1:6">
      <c r="A1340" s="403">
        <v>2714</v>
      </c>
      <c r="B1340" s="403">
        <v>54</v>
      </c>
      <c r="C1340" s="166">
        <v>1330</v>
      </c>
      <c r="D1340" s="166">
        <v>358</v>
      </c>
      <c r="E1340" s="166" t="s">
        <v>1102</v>
      </c>
      <c r="F1340" s="166">
        <v>1339.9783636363634</v>
      </c>
    </row>
    <row r="1341" spans="1:6">
      <c r="A1341" s="403">
        <v>2715</v>
      </c>
      <c r="B1341" s="403">
        <v>54</v>
      </c>
      <c r="C1341" s="166">
        <v>1330</v>
      </c>
      <c r="D1341" s="166">
        <v>358</v>
      </c>
      <c r="E1341" s="166" t="s">
        <v>1102</v>
      </c>
      <c r="F1341" s="166">
        <v>1339.9783636363634</v>
      </c>
    </row>
    <row r="1342" spans="1:6">
      <c r="A1342" s="403">
        <v>2716</v>
      </c>
      <c r="B1342" s="403">
        <v>54</v>
      </c>
      <c r="C1342" s="166">
        <v>1330</v>
      </c>
      <c r="D1342" s="166">
        <v>358</v>
      </c>
      <c r="E1342" s="166" t="s">
        <v>1102</v>
      </c>
      <c r="F1342" s="166">
        <v>1339.9783636363634</v>
      </c>
    </row>
    <row r="1343" spans="1:6">
      <c r="A1343" s="403">
        <v>2717</v>
      </c>
      <c r="B1343" s="403">
        <v>53</v>
      </c>
      <c r="C1343" s="166">
        <v>1112</v>
      </c>
      <c r="D1343" s="166">
        <v>230</v>
      </c>
      <c r="E1343" s="166" t="s">
        <v>1102</v>
      </c>
      <c r="F1343" s="166">
        <v>2454.8359472049692</v>
      </c>
    </row>
    <row r="1344" spans="1:6">
      <c r="A1344" s="403">
        <v>2720</v>
      </c>
      <c r="B1344" s="403">
        <v>57</v>
      </c>
      <c r="C1344" s="166">
        <v>1608</v>
      </c>
      <c r="D1344" s="166">
        <v>219</v>
      </c>
      <c r="E1344" s="166" t="s">
        <v>1102</v>
      </c>
      <c r="F1344" s="166">
        <v>1245.7818449612405</v>
      </c>
    </row>
    <row r="1345" spans="1:6">
      <c r="A1345" s="403">
        <v>2721</v>
      </c>
      <c r="B1345" s="403">
        <v>57</v>
      </c>
      <c r="C1345" s="166">
        <v>1608</v>
      </c>
      <c r="D1345" s="166">
        <v>219</v>
      </c>
      <c r="E1345" s="166" t="s">
        <v>1102</v>
      </c>
      <c r="F1345" s="166">
        <v>1245.7818449612405</v>
      </c>
    </row>
    <row r="1346" spans="1:6">
      <c r="A1346" s="403">
        <v>2722</v>
      </c>
      <c r="B1346" s="403">
        <v>57</v>
      </c>
      <c r="C1346" s="166">
        <v>1608</v>
      </c>
      <c r="D1346" s="166">
        <v>219</v>
      </c>
      <c r="E1346" s="166" t="s">
        <v>1102</v>
      </c>
      <c r="F1346" s="166">
        <v>1245.7818449612405</v>
      </c>
    </row>
    <row r="1347" spans="1:6">
      <c r="A1347" s="403">
        <v>2725</v>
      </c>
      <c r="B1347" s="403">
        <v>57</v>
      </c>
      <c r="C1347" s="166">
        <v>1608</v>
      </c>
      <c r="D1347" s="166">
        <v>219</v>
      </c>
      <c r="E1347" s="166" t="s">
        <v>1102</v>
      </c>
      <c r="F1347" s="166">
        <v>1245.7818449612405</v>
      </c>
    </row>
    <row r="1348" spans="1:6">
      <c r="A1348" s="403">
        <v>2726</v>
      </c>
      <c r="B1348" s="403">
        <v>57</v>
      </c>
      <c r="C1348" s="166">
        <v>1608</v>
      </c>
      <c r="D1348" s="166">
        <v>219</v>
      </c>
      <c r="E1348" s="166" t="s">
        <v>1102</v>
      </c>
      <c r="F1348" s="166">
        <v>1245.7818449612405</v>
      </c>
    </row>
    <row r="1349" spans="1:6">
      <c r="A1349" s="403">
        <v>2727</v>
      </c>
      <c r="B1349" s="403">
        <v>57</v>
      </c>
      <c r="C1349" s="166">
        <v>1608</v>
      </c>
      <c r="D1349" s="166">
        <v>219</v>
      </c>
      <c r="E1349" s="166" t="s">
        <v>1102</v>
      </c>
      <c r="F1349" s="166">
        <v>1245.7818449612405</v>
      </c>
    </row>
    <row r="1350" spans="1:6">
      <c r="A1350" s="403">
        <v>2729</v>
      </c>
      <c r="B1350" s="403">
        <v>57</v>
      </c>
      <c r="C1350" s="166">
        <v>1608</v>
      </c>
      <c r="D1350" s="166">
        <v>219</v>
      </c>
      <c r="E1350" s="166" t="s">
        <v>1102</v>
      </c>
      <c r="F1350" s="166">
        <v>1245.7818449612405</v>
      </c>
    </row>
    <row r="1351" spans="1:6">
      <c r="A1351" s="403">
        <v>2730</v>
      </c>
      <c r="B1351" s="403">
        <v>57</v>
      </c>
      <c r="C1351" s="166">
        <v>1608</v>
      </c>
      <c r="D1351" s="166">
        <v>219</v>
      </c>
      <c r="E1351" s="166" t="s">
        <v>1102</v>
      </c>
      <c r="F1351" s="166">
        <v>1245.7818449612405</v>
      </c>
    </row>
    <row r="1352" spans="1:6">
      <c r="A1352" s="403">
        <v>2731</v>
      </c>
      <c r="B1352" s="403">
        <v>54</v>
      </c>
      <c r="C1352" s="166">
        <v>1330</v>
      </c>
      <c r="D1352" s="166">
        <v>358</v>
      </c>
      <c r="E1352" s="166" t="s">
        <v>1102</v>
      </c>
      <c r="F1352" s="166">
        <v>1339.9783636363634</v>
      </c>
    </row>
    <row r="1353" spans="1:6">
      <c r="A1353" s="403">
        <v>2732</v>
      </c>
      <c r="B1353" s="403">
        <v>54</v>
      </c>
      <c r="C1353" s="166">
        <v>1330</v>
      </c>
      <c r="D1353" s="166">
        <v>358</v>
      </c>
      <c r="E1353" s="166" t="s">
        <v>1102</v>
      </c>
      <c r="F1353" s="166">
        <v>1339.9783636363634</v>
      </c>
    </row>
    <row r="1354" spans="1:6">
      <c r="A1354" s="403">
        <v>2733</v>
      </c>
      <c r="B1354" s="403">
        <v>54</v>
      </c>
      <c r="C1354" s="166">
        <v>1330</v>
      </c>
      <c r="D1354" s="166">
        <v>358</v>
      </c>
      <c r="E1354" s="166" t="s">
        <v>1102</v>
      </c>
      <c r="F1354" s="166">
        <v>1339.9783636363634</v>
      </c>
    </row>
    <row r="1355" spans="1:6">
      <c r="A1355" s="403">
        <v>2734</v>
      </c>
      <c r="B1355" s="403">
        <v>54</v>
      </c>
      <c r="C1355" s="166">
        <v>1330</v>
      </c>
      <c r="D1355" s="166">
        <v>358</v>
      </c>
      <c r="E1355" s="166" t="s">
        <v>1102</v>
      </c>
      <c r="F1355" s="166">
        <v>1339.9783636363634</v>
      </c>
    </row>
    <row r="1356" spans="1:6">
      <c r="A1356" s="403">
        <v>2735</v>
      </c>
      <c r="B1356" s="403">
        <v>54</v>
      </c>
      <c r="C1356" s="166">
        <v>1330</v>
      </c>
      <c r="D1356" s="166">
        <v>358</v>
      </c>
      <c r="E1356" s="166" t="s">
        <v>1102</v>
      </c>
      <c r="F1356" s="166">
        <v>1339.9783636363634</v>
      </c>
    </row>
    <row r="1357" spans="1:6">
      <c r="A1357" s="403">
        <v>2736</v>
      </c>
      <c r="B1357" s="403">
        <v>54</v>
      </c>
      <c r="C1357" s="166">
        <v>1330</v>
      </c>
      <c r="D1357" s="166">
        <v>358</v>
      </c>
      <c r="E1357" s="166" t="s">
        <v>1102</v>
      </c>
      <c r="F1357" s="166">
        <v>1339.9783636363634</v>
      </c>
    </row>
    <row r="1358" spans="1:6">
      <c r="A1358" s="403">
        <v>2737</v>
      </c>
      <c r="B1358" s="403">
        <v>53</v>
      </c>
      <c r="C1358" s="166">
        <v>1112</v>
      </c>
      <c r="D1358" s="166">
        <v>230</v>
      </c>
      <c r="E1358" s="166" t="s">
        <v>1102</v>
      </c>
      <c r="F1358" s="166">
        <v>2454.8359472049692</v>
      </c>
    </row>
    <row r="1359" spans="1:6">
      <c r="A1359" s="403">
        <v>2738</v>
      </c>
      <c r="B1359" s="403">
        <v>53</v>
      </c>
      <c r="C1359" s="166">
        <v>1112</v>
      </c>
      <c r="D1359" s="166">
        <v>230</v>
      </c>
      <c r="E1359" s="166" t="s">
        <v>1102</v>
      </c>
      <c r="F1359" s="166">
        <v>2454.8359472049692</v>
      </c>
    </row>
    <row r="1360" spans="1:6">
      <c r="A1360" s="403">
        <v>2739</v>
      </c>
      <c r="B1360" s="403">
        <v>53</v>
      </c>
      <c r="C1360" s="166">
        <v>1112</v>
      </c>
      <c r="D1360" s="166">
        <v>230</v>
      </c>
      <c r="E1360" s="166" t="s">
        <v>1102</v>
      </c>
      <c r="F1360" s="166">
        <v>2454.8359472049692</v>
      </c>
    </row>
    <row r="1361" spans="1:6">
      <c r="A1361" s="403">
        <v>2740</v>
      </c>
      <c r="B1361" s="403">
        <v>63</v>
      </c>
      <c r="C1361" s="166">
        <v>642</v>
      </c>
      <c r="D1361" s="166">
        <v>541</v>
      </c>
      <c r="E1361" s="166" t="s">
        <v>1102</v>
      </c>
      <c r="F1361" s="166">
        <v>751.44065116284287</v>
      </c>
    </row>
    <row r="1362" spans="1:6">
      <c r="A1362" s="403">
        <v>2745</v>
      </c>
      <c r="B1362" s="403">
        <v>63</v>
      </c>
      <c r="C1362" s="166">
        <v>642</v>
      </c>
      <c r="D1362" s="166">
        <v>541</v>
      </c>
      <c r="E1362" s="166" t="s">
        <v>1102</v>
      </c>
      <c r="F1362" s="166">
        <v>751.44065116284287</v>
      </c>
    </row>
    <row r="1363" spans="1:6">
      <c r="A1363" s="403">
        <v>2746</v>
      </c>
      <c r="B1363" s="403">
        <v>63</v>
      </c>
      <c r="C1363" s="166">
        <v>642</v>
      </c>
      <c r="D1363" s="166">
        <v>541</v>
      </c>
      <c r="E1363" s="166" t="s">
        <v>1102</v>
      </c>
      <c r="F1363" s="166">
        <v>751.44065116284287</v>
      </c>
    </row>
    <row r="1364" spans="1:6">
      <c r="A1364" s="403">
        <v>2747</v>
      </c>
      <c r="B1364" s="403">
        <v>63</v>
      </c>
      <c r="C1364" s="166">
        <v>642</v>
      </c>
      <c r="D1364" s="166">
        <v>541</v>
      </c>
      <c r="E1364" s="166" t="s">
        <v>1102</v>
      </c>
      <c r="F1364" s="166">
        <v>751.44065116284287</v>
      </c>
    </row>
    <row r="1365" spans="1:6">
      <c r="A1365" s="403">
        <v>2748</v>
      </c>
      <c r="B1365" s="403">
        <v>63</v>
      </c>
      <c r="C1365" s="166">
        <v>642</v>
      </c>
      <c r="D1365" s="166">
        <v>541</v>
      </c>
      <c r="E1365" s="166" t="s">
        <v>1102</v>
      </c>
      <c r="F1365" s="166">
        <v>751.44065116284287</v>
      </c>
    </row>
    <row r="1366" spans="1:6">
      <c r="A1366" s="403">
        <v>2749</v>
      </c>
      <c r="B1366" s="403">
        <v>63</v>
      </c>
      <c r="C1366" s="166">
        <v>642</v>
      </c>
      <c r="D1366" s="166">
        <v>541</v>
      </c>
      <c r="E1366" s="166" t="s">
        <v>1102</v>
      </c>
      <c r="F1366" s="166">
        <v>751.44065116284287</v>
      </c>
    </row>
    <row r="1367" spans="1:6">
      <c r="A1367" s="403">
        <v>2750</v>
      </c>
      <c r="B1367" s="403">
        <v>63</v>
      </c>
      <c r="C1367" s="166">
        <v>642</v>
      </c>
      <c r="D1367" s="166">
        <v>541</v>
      </c>
      <c r="E1367" s="166" t="s">
        <v>1102</v>
      </c>
      <c r="F1367" s="166">
        <v>751.44065116284287</v>
      </c>
    </row>
    <row r="1368" spans="1:6">
      <c r="A1368" s="403">
        <v>2751</v>
      </c>
      <c r="B1368" s="403">
        <v>63</v>
      </c>
      <c r="C1368" s="166">
        <v>642</v>
      </c>
      <c r="D1368" s="166">
        <v>541</v>
      </c>
      <c r="E1368" s="166" t="s">
        <v>1102</v>
      </c>
      <c r="F1368" s="166">
        <v>751.44065116284287</v>
      </c>
    </row>
    <row r="1369" spans="1:6">
      <c r="A1369" s="403">
        <v>2752</v>
      </c>
      <c r="B1369" s="403">
        <v>63</v>
      </c>
      <c r="C1369" s="166">
        <v>642</v>
      </c>
      <c r="D1369" s="166">
        <v>541</v>
      </c>
      <c r="E1369" s="166" t="s">
        <v>1102</v>
      </c>
      <c r="F1369" s="166">
        <v>751.44065116284287</v>
      </c>
    </row>
    <row r="1370" spans="1:6">
      <c r="A1370" s="403">
        <v>2753</v>
      </c>
      <c r="B1370" s="403">
        <v>63</v>
      </c>
      <c r="C1370" s="166">
        <v>642</v>
      </c>
      <c r="D1370" s="166">
        <v>541</v>
      </c>
      <c r="E1370" s="166" t="s">
        <v>1102</v>
      </c>
      <c r="F1370" s="166">
        <v>751.44065116284287</v>
      </c>
    </row>
    <row r="1371" spans="1:6">
      <c r="A1371" s="403">
        <v>2754</v>
      </c>
      <c r="B1371" s="403">
        <v>63</v>
      </c>
      <c r="C1371" s="166">
        <v>642</v>
      </c>
      <c r="D1371" s="166">
        <v>541</v>
      </c>
      <c r="E1371" s="166" t="s">
        <v>1102</v>
      </c>
      <c r="F1371" s="166">
        <v>751.44065116284287</v>
      </c>
    </row>
    <row r="1372" spans="1:6">
      <c r="A1372" s="403">
        <v>2755</v>
      </c>
      <c r="B1372" s="403">
        <v>63</v>
      </c>
      <c r="C1372" s="166">
        <v>642</v>
      </c>
      <c r="D1372" s="166">
        <v>541</v>
      </c>
      <c r="E1372" s="166" t="s">
        <v>1102</v>
      </c>
      <c r="F1372" s="166">
        <v>751.44065116284287</v>
      </c>
    </row>
    <row r="1373" spans="1:6">
      <c r="A1373" s="403">
        <v>2756</v>
      </c>
      <c r="B1373" s="403">
        <v>63</v>
      </c>
      <c r="C1373" s="166">
        <v>642</v>
      </c>
      <c r="D1373" s="166">
        <v>541</v>
      </c>
      <c r="E1373" s="166" t="s">
        <v>1102</v>
      </c>
      <c r="F1373" s="166">
        <v>751.44065116284287</v>
      </c>
    </row>
    <row r="1374" spans="1:6">
      <c r="A1374" s="403">
        <v>2757</v>
      </c>
      <c r="B1374" s="403">
        <v>63</v>
      </c>
      <c r="C1374" s="166">
        <v>642</v>
      </c>
      <c r="D1374" s="166">
        <v>541</v>
      </c>
      <c r="E1374" s="166" t="s">
        <v>1102</v>
      </c>
      <c r="F1374" s="166">
        <v>751.44065116284287</v>
      </c>
    </row>
    <row r="1375" spans="1:6">
      <c r="A1375" s="403">
        <v>2758</v>
      </c>
      <c r="B1375" s="403">
        <v>63</v>
      </c>
      <c r="C1375" s="166">
        <v>642</v>
      </c>
      <c r="D1375" s="166">
        <v>541</v>
      </c>
      <c r="E1375" s="166" t="s">
        <v>1102</v>
      </c>
      <c r="F1375" s="166">
        <v>751.44065116284287</v>
      </c>
    </row>
    <row r="1376" spans="1:6">
      <c r="A1376" s="403">
        <v>2759</v>
      </c>
      <c r="B1376" s="403">
        <v>63</v>
      </c>
      <c r="C1376" s="166">
        <v>642</v>
      </c>
      <c r="D1376" s="166">
        <v>541</v>
      </c>
      <c r="E1376" s="166" t="s">
        <v>1102</v>
      </c>
      <c r="F1376" s="166">
        <v>751.44065116284287</v>
      </c>
    </row>
    <row r="1377" spans="1:6">
      <c r="A1377" s="403">
        <v>2760</v>
      </c>
      <c r="B1377" s="403">
        <v>63</v>
      </c>
      <c r="C1377" s="166">
        <v>642</v>
      </c>
      <c r="D1377" s="166">
        <v>541</v>
      </c>
      <c r="E1377" s="166" t="s">
        <v>1102</v>
      </c>
      <c r="F1377" s="166">
        <v>751.44065116284287</v>
      </c>
    </row>
    <row r="1378" spans="1:6">
      <c r="A1378" s="403">
        <v>2761</v>
      </c>
      <c r="B1378" s="403">
        <v>63</v>
      </c>
      <c r="C1378" s="166">
        <v>642</v>
      </c>
      <c r="D1378" s="166">
        <v>541</v>
      </c>
      <c r="E1378" s="166" t="s">
        <v>1102</v>
      </c>
      <c r="F1378" s="166">
        <v>751.44065116284287</v>
      </c>
    </row>
    <row r="1379" spans="1:6">
      <c r="A1379" s="403">
        <v>2762</v>
      </c>
      <c r="B1379" s="403">
        <v>63</v>
      </c>
      <c r="C1379" s="166">
        <v>642</v>
      </c>
      <c r="D1379" s="166">
        <v>541</v>
      </c>
      <c r="E1379" s="166" t="s">
        <v>1102</v>
      </c>
      <c r="F1379" s="166">
        <v>751.44065116284287</v>
      </c>
    </row>
    <row r="1380" spans="1:6">
      <c r="A1380" s="403">
        <v>2763</v>
      </c>
      <c r="B1380" s="403">
        <v>63</v>
      </c>
      <c r="C1380" s="166">
        <v>642</v>
      </c>
      <c r="D1380" s="166">
        <v>541</v>
      </c>
      <c r="E1380" s="166" t="s">
        <v>1102</v>
      </c>
      <c r="F1380" s="166">
        <v>751.44065116284287</v>
      </c>
    </row>
    <row r="1381" spans="1:6">
      <c r="A1381" s="403">
        <v>2764</v>
      </c>
      <c r="B1381" s="403">
        <v>63</v>
      </c>
      <c r="C1381" s="166">
        <v>642</v>
      </c>
      <c r="D1381" s="166">
        <v>541</v>
      </c>
      <c r="E1381" s="166" t="s">
        <v>1102</v>
      </c>
      <c r="F1381" s="166">
        <v>751.44065116284287</v>
      </c>
    </row>
    <row r="1382" spans="1:6">
      <c r="A1382" s="403">
        <v>2765</v>
      </c>
      <c r="B1382" s="403">
        <v>63</v>
      </c>
      <c r="C1382" s="166">
        <v>642</v>
      </c>
      <c r="D1382" s="166">
        <v>541</v>
      </c>
      <c r="E1382" s="166" t="s">
        <v>1102</v>
      </c>
      <c r="F1382" s="166">
        <v>751.44065116284287</v>
      </c>
    </row>
    <row r="1383" spans="1:6">
      <c r="A1383" s="403">
        <v>2766</v>
      </c>
      <c r="B1383" s="403">
        <v>63</v>
      </c>
      <c r="C1383" s="166">
        <v>642</v>
      </c>
      <c r="D1383" s="166">
        <v>541</v>
      </c>
      <c r="E1383" s="166" t="s">
        <v>1102</v>
      </c>
      <c r="F1383" s="166">
        <v>751.44065116284287</v>
      </c>
    </row>
    <row r="1384" spans="1:6">
      <c r="A1384" s="403">
        <v>2767</v>
      </c>
      <c r="B1384" s="403">
        <v>63</v>
      </c>
      <c r="C1384" s="166">
        <v>642</v>
      </c>
      <c r="D1384" s="166">
        <v>541</v>
      </c>
      <c r="E1384" s="166" t="s">
        <v>1102</v>
      </c>
      <c r="F1384" s="166">
        <v>751.44065116284287</v>
      </c>
    </row>
    <row r="1385" spans="1:6">
      <c r="A1385" s="403">
        <v>2768</v>
      </c>
      <c r="B1385" s="403">
        <v>63</v>
      </c>
      <c r="C1385" s="166">
        <v>642</v>
      </c>
      <c r="D1385" s="166">
        <v>541</v>
      </c>
      <c r="E1385" s="166" t="s">
        <v>1102</v>
      </c>
      <c r="F1385" s="166">
        <v>751.44065116284287</v>
      </c>
    </row>
    <row r="1386" spans="1:6">
      <c r="A1386" s="403">
        <v>2770</v>
      </c>
      <c r="B1386" s="403">
        <v>63</v>
      </c>
      <c r="C1386" s="166">
        <v>642</v>
      </c>
      <c r="D1386" s="166">
        <v>541</v>
      </c>
      <c r="E1386" s="166" t="s">
        <v>1102</v>
      </c>
      <c r="F1386" s="166">
        <v>751.44065116284287</v>
      </c>
    </row>
    <row r="1387" spans="1:6">
      <c r="A1387" s="403">
        <v>2773</v>
      </c>
      <c r="B1387" s="403">
        <v>63</v>
      </c>
      <c r="C1387" s="166">
        <v>642</v>
      </c>
      <c r="D1387" s="166">
        <v>541</v>
      </c>
      <c r="E1387" s="166" t="s">
        <v>1102</v>
      </c>
      <c r="F1387" s="166">
        <v>751.44065116284287</v>
      </c>
    </row>
    <row r="1388" spans="1:6">
      <c r="A1388" s="403">
        <v>2774</v>
      </c>
      <c r="B1388" s="403">
        <v>63</v>
      </c>
      <c r="C1388" s="166">
        <v>642</v>
      </c>
      <c r="D1388" s="166">
        <v>541</v>
      </c>
      <c r="E1388" s="166" t="s">
        <v>1102</v>
      </c>
      <c r="F1388" s="166">
        <v>751.44065116284287</v>
      </c>
    </row>
    <row r="1389" spans="1:6">
      <c r="A1389" s="403">
        <v>2775</v>
      </c>
      <c r="B1389" s="403">
        <v>63</v>
      </c>
      <c r="C1389" s="166">
        <v>642</v>
      </c>
      <c r="D1389" s="166">
        <v>541</v>
      </c>
      <c r="E1389" s="166" t="s">
        <v>1102</v>
      </c>
      <c r="F1389" s="166">
        <v>751.44065116284287</v>
      </c>
    </row>
    <row r="1390" spans="1:6">
      <c r="A1390" s="403">
        <v>2776</v>
      </c>
      <c r="B1390" s="403">
        <v>63</v>
      </c>
      <c r="C1390" s="166">
        <v>642</v>
      </c>
      <c r="D1390" s="166">
        <v>541</v>
      </c>
      <c r="E1390" s="166" t="s">
        <v>1102</v>
      </c>
      <c r="F1390" s="166">
        <v>751.44065116284287</v>
      </c>
    </row>
    <row r="1391" spans="1:6">
      <c r="A1391" s="403">
        <v>2777</v>
      </c>
      <c r="B1391" s="403">
        <v>63</v>
      </c>
      <c r="C1391" s="166">
        <v>642</v>
      </c>
      <c r="D1391" s="166">
        <v>541</v>
      </c>
      <c r="E1391" s="166" t="s">
        <v>1102</v>
      </c>
      <c r="F1391" s="166">
        <v>751.44065116284287</v>
      </c>
    </row>
    <row r="1392" spans="1:6">
      <c r="A1392" s="403">
        <v>2778</v>
      </c>
      <c r="B1392" s="403">
        <v>63</v>
      </c>
      <c r="C1392" s="166">
        <v>642</v>
      </c>
      <c r="D1392" s="166">
        <v>541</v>
      </c>
      <c r="E1392" s="166" t="s">
        <v>1102</v>
      </c>
      <c r="F1392" s="166">
        <v>751.44065116284287</v>
      </c>
    </row>
    <row r="1393" spans="1:6">
      <c r="A1393" s="403">
        <v>2779</v>
      </c>
      <c r="B1393" s="403">
        <v>63</v>
      </c>
      <c r="C1393" s="166">
        <v>642</v>
      </c>
      <c r="D1393" s="166">
        <v>541</v>
      </c>
      <c r="E1393" s="166" t="s">
        <v>1102</v>
      </c>
      <c r="F1393" s="166">
        <v>751.44065116284287</v>
      </c>
    </row>
    <row r="1394" spans="1:6">
      <c r="A1394" s="403">
        <v>2780</v>
      </c>
      <c r="B1394" s="403">
        <v>63</v>
      </c>
      <c r="C1394" s="166">
        <v>642</v>
      </c>
      <c r="D1394" s="166">
        <v>541</v>
      </c>
      <c r="E1394" s="166" t="s">
        <v>1102</v>
      </c>
      <c r="F1394" s="166">
        <v>751.44065116284287</v>
      </c>
    </row>
    <row r="1395" spans="1:6">
      <c r="A1395" s="403">
        <v>2781</v>
      </c>
      <c r="B1395" s="403">
        <v>63</v>
      </c>
      <c r="C1395" s="166">
        <v>642</v>
      </c>
      <c r="D1395" s="166">
        <v>541</v>
      </c>
      <c r="E1395" s="166" t="s">
        <v>1102</v>
      </c>
      <c r="F1395" s="166">
        <v>751.44065116284287</v>
      </c>
    </row>
    <row r="1396" spans="1:6">
      <c r="A1396" s="403">
        <v>2782</v>
      </c>
      <c r="B1396" s="403">
        <v>63</v>
      </c>
      <c r="C1396" s="166">
        <v>642</v>
      </c>
      <c r="D1396" s="166">
        <v>541</v>
      </c>
      <c r="E1396" s="166" t="s">
        <v>1102</v>
      </c>
      <c r="F1396" s="166">
        <v>751.44065116284287</v>
      </c>
    </row>
    <row r="1397" spans="1:6">
      <c r="A1397" s="403">
        <v>2783</v>
      </c>
      <c r="B1397" s="403">
        <v>63</v>
      </c>
      <c r="C1397" s="166">
        <v>642</v>
      </c>
      <c r="D1397" s="166">
        <v>541</v>
      </c>
      <c r="E1397" s="166" t="s">
        <v>1102</v>
      </c>
      <c r="F1397" s="166">
        <v>751.44065116284287</v>
      </c>
    </row>
    <row r="1398" spans="1:6">
      <c r="A1398" s="403">
        <v>2784</v>
      </c>
      <c r="B1398" s="403">
        <v>63</v>
      </c>
      <c r="C1398" s="166">
        <v>642</v>
      </c>
      <c r="D1398" s="166">
        <v>541</v>
      </c>
      <c r="E1398" s="166" t="s">
        <v>1102</v>
      </c>
      <c r="F1398" s="166">
        <v>751.44065116284287</v>
      </c>
    </row>
    <row r="1399" spans="1:6">
      <c r="A1399" s="403">
        <v>2785</v>
      </c>
      <c r="B1399" s="403">
        <v>63</v>
      </c>
      <c r="C1399" s="166">
        <v>642</v>
      </c>
      <c r="D1399" s="166">
        <v>541</v>
      </c>
      <c r="E1399" s="166" t="s">
        <v>1102</v>
      </c>
      <c r="F1399" s="166">
        <v>751.44065116284287</v>
      </c>
    </row>
    <row r="1400" spans="1:6">
      <c r="A1400" s="403">
        <v>2786</v>
      </c>
      <c r="B1400" s="403">
        <v>63</v>
      </c>
      <c r="C1400" s="166">
        <v>642</v>
      </c>
      <c r="D1400" s="166">
        <v>541</v>
      </c>
      <c r="E1400" s="166" t="s">
        <v>1102</v>
      </c>
      <c r="F1400" s="166">
        <v>751.44065116284287</v>
      </c>
    </row>
    <row r="1401" spans="1:6">
      <c r="A1401" s="403">
        <v>2787</v>
      </c>
      <c r="B1401" s="403">
        <v>62</v>
      </c>
      <c r="C1401" s="166">
        <v>2023</v>
      </c>
      <c r="D1401" s="166">
        <v>89</v>
      </c>
      <c r="E1401" s="166" t="s">
        <v>1102</v>
      </c>
      <c r="F1401" s="166">
        <v>740.9917857142857</v>
      </c>
    </row>
    <row r="1402" spans="1:6">
      <c r="A1402" s="403">
        <v>2790</v>
      </c>
      <c r="B1402" s="403">
        <v>62</v>
      </c>
      <c r="C1402" s="166">
        <v>2023</v>
      </c>
      <c r="D1402" s="166">
        <v>89</v>
      </c>
      <c r="E1402" s="166" t="s">
        <v>1102</v>
      </c>
      <c r="F1402" s="166">
        <v>740.9917857142857</v>
      </c>
    </row>
    <row r="1403" spans="1:6">
      <c r="A1403" s="403">
        <v>2791</v>
      </c>
      <c r="B1403" s="403">
        <v>62</v>
      </c>
      <c r="C1403" s="166">
        <v>2023</v>
      </c>
      <c r="D1403" s="166">
        <v>89</v>
      </c>
      <c r="E1403" s="166" t="s">
        <v>1102</v>
      </c>
      <c r="F1403" s="166">
        <v>740.9917857142857</v>
      </c>
    </row>
    <row r="1404" spans="1:6">
      <c r="A1404" s="403">
        <v>2792</v>
      </c>
      <c r="B1404" s="403">
        <v>62</v>
      </c>
      <c r="C1404" s="166">
        <v>2023</v>
      </c>
      <c r="D1404" s="166">
        <v>89</v>
      </c>
      <c r="E1404" s="166" t="s">
        <v>1102</v>
      </c>
      <c r="F1404" s="166">
        <v>740.9917857142857</v>
      </c>
    </row>
    <row r="1405" spans="1:6">
      <c r="A1405" s="403">
        <v>2793</v>
      </c>
      <c r="B1405" s="403">
        <v>62</v>
      </c>
      <c r="C1405" s="166">
        <v>2023</v>
      </c>
      <c r="D1405" s="166">
        <v>89</v>
      </c>
      <c r="E1405" s="166" t="s">
        <v>1102</v>
      </c>
      <c r="F1405" s="166">
        <v>740.9917857142857</v>
      </c>
    </row>
    <row r="1406" spans="1:6">
      <c r="A1406" s="403">
        <v>2794</v>
      </c>
      <c r="B1406" s="403">
        <v>62</v>
      </c>
      <c r="C1406" s="166">
        <v>2023</v>
      </c>
      <c r="D1406" s="166">
        <v>89</v>
      </c>
      <c r="E1406" s="166" t="s">
        <v>1102</v>
      </c>
      <c r="F1406" s="166">
        <v>740.9917857142857</v>
      </c>
    </row>
    <row r="1407" spans="1:6">
      <c r="A1407" s="403">
        <v>2795</v>
      </c>
      <c r="B1407" s="403">
        <v>62</v>
      </c>
      <c r="C1407" s="166">
        <v>2023</v>
      </c>
      <c r="D1407" s="166">
        <v>89</v>
      </c>
      <c r="E1407" s="166" t="s">
        <v>1102</v>
      </c>
      <c r="F1407" s="166">
        <v>740.9917857142857</v>
      </c>
    </row>
    <row r="1408" spans="1:6">
      <c r="A1408" s="403">
        <v>2796</v>
      </c>
      <c r="B1408" s="403">
        <v>62</v>
      </c>
      <c r="C1408" s="166">
        <v>2023</v>
      </c>
      <c r="D1408" s="166">
        <v>89</v>
      </c>
      <c r="E1408" s="166" t="s">
        <v>1102</v>
      </c>
      <c r="F1408" s="166">
        <v>740.9917857142857</v>
      </c>
    </row>
    <row r="1409" spans="1:6">
      <c r="A1409" s="403">
        <v>2797</v>
      </c>
      <c r="B1409" s="403">
        <v>62</v>
      </c>
      <c r="C1409" s="166">
        <v>2023</v>
      </c>
      <c r="D1409" s="166">
        <v>89</v>
      </c>
      <c r="E1409" s="166" t="s">
        <v>1102</v>
      </c>
      <c r="F1409" s="166">
        <v>740.9917857142857</v>
      </c>
    </row>
    <row r="1410" spans="1:6">
      <c r="A1410" s="403">
        <v>2798</v>
      </c>
      <c r="B1410" s="403">
        <v>62</v>
      </c>
      <c r="C1410" s="166">
        <v>2023</v>
      </c>
      <c r="D1410" s="166">
        <v>89</v>
      </c>
      <c r="E1410" s="166" t="s">
        <v>1102</v>
      </c>
      <c r="F1410" s="166">
        <v>740.9917857142857</v>
      </c>
    </row>
    <row r="1411" spans="1:6">
      <c r="A1411" s="403">
        <v>2799</v>
      </c>
      <c r="B1411" s="403">
        <v>62</v>
      </c>
      <c r="C1411" s="166">
        <v>2023</v>
      </c>
      <c r="D1411" s="166">
        <v>89</v>
      </c>
      <c r="E1411" s="166" t="s">
        <v>1102</v>
      </c>
      <c r="F1411" s="166">
        <v>740.9917857142857</v>
      </c>
    </row>
    <row r="1412" spans="1:6">
      <c r="A1412" s="403">
        <v>2800</v>
      </c>
      <c r="B1412" s="403">
        <v>62</v>
      </c>
      <c r="C1412" s="166">
        <v>2023</v>
      </c>
      <c r="D1412" s="166">
        <v>89</v>
      </c>
      <c r="E1412" s="166" t="s">
        <v>1102</v>
      </c>
      <c r="F1412" s="166">
        <v>740.9917857142857</v>
      </c>
    </row>
    <row r="1413" spans="1:6">
      <c r="A1413" s="403">
        <v>2803</v>
      </c>
      <c r="B1413" s="403">
        <v>56</v>
      </c>
      <c r="C1413" s="166">
        <v>1164</v>
      </c>
      <c r="D1413" s="166">
        <v>283</v>
      </c>
      <c r="E1413" s="166" t="s">
        <v>1102</v>
      </c>
      <c r="F1413" s="166">
        <v>1552.0221730308053</v>
      </c>
    </row>
    <row r="1414" spans="1:6">
      <c r="A1414" s="403">
        <v>2804</v>
      </c>
      <c r="B1414" s="403">
        <v>62</v>
      </c>
      <c r="C1414" s="166">
        <v>2023</v>
      </c>
      <c r="D1414" s="166">
        <v>89</v>
      </c>
      <c r="E1414" s="166" t="s">
        <v>1102</v>
      </c>
      <c r="F1414" s="166">
        <v>740.9917857142857</v>
      </c>
    </row>
    <row r="1415" spans="1:6">
      <c r="A1415" s="403">
        <v>2805</v>
      </c>
      <c r="B1415" s="403">
        <v>62</v>
      </c>
      <c r="C1415" s="166">
        <v>2023</v>
      </c>
      <c r="D1415" s="166">
        <v>89</v>
      </c>
      <c r="E1415" s="166" t="s">
        <v>1102</v>
      </c>
      <c r="F1415" s="166">
        <v>740.9917857142857</v>
      </c>
    </row>
    <row r="1416" spans="1:6">
      <c r="A1416" s="403">
        <v>2806</v>
      </c>
      <c r="B1416" s="403">
        <v>56</v>
      </c>
      <c r="C1416" s="166">
        <v>1164</v>
      </c>
      <c r="D1416" s="166">
        <v>283</v>
      </c>
      <c r="E1416" s="166" t="s">
        <v>1102</v>
      </c>
      <c r="F1416" s="166">
        <v>1552.0221730308053</v>
      </c>
    </row>
    <row r="1417" spans="1:6">
      <c r="A1417" s="403">
        <v>2807</v>
      </c>
      <c r="B1417" s="403">
        <v>56</v>
      </c>
      <c r="C1417" s="166">
        <v>1164</v>
      </c>
      <c r="D1417" s="166">
        <v>283</v>
      </c>
      <c r="E1417" s="166" t="s">
        <v>1102</v>
      </c>
      <c r="F1417" s="166">
        <v>1552.0221730308053</v>
      </c>
    </row>
    <row r="1418" spans="1:6">
      <c r="A1418" s="403">
        <v>2808</v>
      </c>
      <c r="B1418" s="403">
        <v>62</v>
      </c>
      <c r="C1418" s="166">
        <v>2023</v>
      </c>
      <c r="D1418" s="166">
        <v>89</v>
      </c>
      <c r="E1418" s="166" t="s">
        <v>1102</v>
      </c>
      <c r="F1418" s="166">
        <v>740.9917857142857</v>
      </c>
    </row>
    <row r="1419" spans="1:6">
      <c r="A1419" s="403">
        <v>2809</v>
      </c>
      <c r="B1419" s="403">
        <v>56</v>
      </c>
      <c r="C1419" s="166">
        <v>1164</v>
      </c>
      <c r="D1419" s="166">
        <v>283</v>
      </c>
      <c r="E1419" s="166" t="s">
        <v>1102</v>
      </c>
      <c r="F1419" s="166">
        <v>1552.0221730308053</v>
      </c>
    </row>
    <row r="1420" spans="1:6">
      <c r="A1420" s="403">
        <v>2810</v>
      </c>
      <c r="B1420" s="403">
        <v>56</v>
      </c>
      <c r="C1420" s="166">
        <v>1164</v>
      </c>
      <c r="D1420" s="166">
        <v>283</v>
      </c>
      <c r="E1420" s="166" t="s">
        <v>1102</v>
      </c>
      <c r="F1420" s="166">
        <v>1552.0221730308053</v>
      </c>
    </row>
    <row r="1421" spans="1:6">
      <c r="A1421" s="403">
        <v>2820</v>
      </c>
      <c r="B1421" s="403">
        <v>56</v>
      </c>
      <c r="C1421" s="166">
        <v>1164</v>
      </c>
      <c r="D1421" s="166">
        <v>283</v>
      </c>
      <c r="E1421" s="166" t="s">
        <v>1102</v>
      </c>
      <c r="F1421" s="166">
        <v>1552.0221730308053</v>
      </c>
    </row>
    <row r="1422" spans="1:6">
      <c r="A1422" s="403">
        <v>2821</v>
      </c>
      <c r="B1422" s="403">
        <v>56</v>
      </c>
      <c r="C1422" s="166">
        <v>1164</v>
      </c>
      <c r="D1422" s="166">
        <v>283</v>
      </c>
      <c r="E1422" s="166" t="s">
        <v>1102</v>
      </c>
      <c r="F1422" s="166">
        <v>1552.0221730308053</v>
      </c>
    </row>
    <row r="1423" spans="1:6">
      <c r="A1423" s="403">
        <v>2823</v>
      </c>
      <c r="B1423" s="403">
        <v>56</v>
      </c>
      <c r="C1423" s="166">
        <v>1164</v>
      </c>
      <c r="D1423" s="166">
        <v>283</v>
      </c>
      <c r="E1423" s="166" t="s">
        <v>1102</v>
      </c>
      <c r="F1423" s="166">
        <v>1552.0221730308053</v>
      </c>
    </row>
    <row r="1424" spans="1:6">
      <c r="A1424" s="403">
        <v>2824</v>
      </c>
      <c r="B1424" s="403">
        <v>56</v>
      </c>
      <c r="C1424" s="166">
        <v>1164</v>
      </c>
      <c r="D1424" s="166">
        <v>283</v>
      </c>
      <c r="E1424" s="166" t="s">
        <v>1102</v>
      </c>
      <c r="F1424" s="166">
        <v>1552.0221730308053</v>
      </c>
    </row>
    <row r="1425" spans="1:6">
      <c r="A1425" s="403">
        <v>2825</v>
      </c>
      <c r="B1425" s="403">
        <v>56</v>
      </c>
      <c r="C1425" s="166">
        <v>1164</v>
      </c>
      <c r="D1425" s="166">
        <v>283</v>
      </c>
      <c r="E1425" s="166" t="s">
        <v>1102</v>
      </c>
      <c r="F1425" s="166">
        <v>1552.0221730308053</v>
      </c>
    </row>
    <row r="1426" spans="1:6">
      <c r="A1426" s="403">
        <v>2826</v>
      </c>
      <c r="B1426" s="403">
        <v>56</v>
      </c>
      <c r="C1426" s="166">
        <v>1164</v>
      </c>
      <c r="D1426" s="166">
        <v>283</v>
      </c>
      <c r="E1426" s="166" t="s">
        <v>1102</v>
      </c>
      <c r="F1426" s="166">
        <v>1552.0221730308053</v>
      </c>
    </row>
    <row r="1427" spans="1:6">
      <c r="A1427" s="403">
        <v>2827</v>
      </c>
      <c r="B1427" s="403">
        <v>56</v>
      </c>
      <c r="C1427" s="166">
        <v>1164</v>
      </c>
      <c r="D1427" s="166">
        <v>283</v>
      </c>
      <c r="E1427" s="166" t="s">
        <v>1102</v>
      </c>
      <c r="F1427" s="166">
        <v>1552.0221730308053</v>
      </c>
    </row>
    <row r="1428" spans="1:6">
      <c r="A1428" s="403">
        <v>2828</v>
      </c>
      <c r="B1428" s="403">
        <v>56</v>
      </c>
      <c r="C1428" s="166">
        <v>1164</v>
      </c>
      <c r="D1428" s="166">
        <v>283</v>
      </c>
      <c r="E1428" s="166" t="s">
        <v>1102</v>
      </c>
      <c r="F1428" s="166">
        <v>1552.0221730308053</v>
      </c>
    </row>
    <row r="1429" spans="1:6">
      <c r="A1429" s="403">
        <v>2829</v>
      </c>
      <c r="B1429" s="403">
        <v>56</v>
      </c>
      <c r="C1429" s="166">
        <v>1164</v>
      </c>
      <c r="D1429" s="166">
        <v>283</v>
      </c>
      <c r="E1429" s="166" t="s">
        <v>1102</v>
      </c>
      <c r="F1429" s="166">
        <v>1552.0221730308053</v>
      </c>
    </row>
    <row r="1430" spans="1:6">
      <c r="A1430" s="403">
        <v>2830</v>
      </c>
      <c r="B1430" s="403">
        <v>56</v>
      </c>
      <c r="C1430" s="166">
        <v>1164</v>
      </c>
      <c r="D1430" s="166">
        <v>283</v>
      </c>
      <c r="E1430" s="166" t="s">
        <v>1102</v>
      </c>
      <c r="F1430" s="166">
        <v>1552.0221730308053</v>
      </c>
    </row>
    <row r="1431" spans="1:6">
      <c r="A1431" s="403">
        <v>2831</v>
      </c>
      <c r="B1431" s="403">
        <v>56</v>
      </c>
      <c r="C1431" s="166">
        <v>1164</v>
      </c>
      <c r="D1431" s="166">
        <v>283</v>
      </c>
      <c r="E1431" s="166" t="s">
        <v>1102</v>
      </c>
      <c r="F1431" s="166">
        <v>1552.0221730308053</v>
      </c>
    </row>
    <row r="1432" spans="1:6">
      <c r="A1432" s="403">
        <v>2832</v>
      </c>
      <c r="B1432" s="403">
        <v>55</v>
      </c>
      <c r="C1432" s="166">
        <v>944</v>
      </c>
      <c r="D1432" s="166">
        <v>470</v>
      </c>
      <c r="E1432" s="166" t="s">
        <v>1102</v>
      </c>
      <c r="F1432" s="166">
        <v>1249.7389584575644</v>
      </c>
    </row>
    <row r="1433" spans="1:6">
      <c r="A1433" s="403">
        <v>2833</v>
      </c>
      <c r="B1433" s="403">
        <v>55</v>
      </c>
      <c r="C1433" s="166">
        <v>944</v>
      </c>
      <c r="D1433" s="166">
        <v>470</v>
      </c>
      <c r="E1433" s="166" t="s">
        <v>1102</v>
      </c>
      <c r="F1433" s="166">
        <v>1249.7389584575644</v>
      </c>
    </row>
    <row r="1434" spans="1:6">
      <c r="A1434" s="403">
        <v>2834</v>
      </c>
      <c r="B1434" s="403">
        <v>52</v>
      </c>
      <c r="C1434" s="166">
        <v>813</v>
      </c>
      <c r="D1434" s="166">
        <v>523</v>
      </c>
      <c r="E1434" s="166" t="s">
        <v>1102</v>
      </c>
      <c r="F1434" s="166">
        <v>2325.6376458112409</v>
      </c>
    </row>
    <row r="1435" spans="1:6">
      <c r="A1435" s="403">
        <v>2835</v>
      </c>
      <c r="B1435" s="403">
        <v>52</v>
      </c>
      <c r="C1435" s="166">
        <v>813</v>
      </c>
      <c r="D1435" s="166">
        <v>523</v>
      </c>
      <c r="E1435" s="166" t="s">
        <v>1102</v>
      </c>
      <c r="F1435" s="166">
        <v>2325.6376458112409</v>
      </c>
    </row>
    <row r="1436" spans="1:6">
      <c r="A1436" s="403">
        <v>2836</v>
      </c>
      <c r="B1436" s="403">
        <v>52</v>
      </c>
      <c r="C1436" s="166">
        <v>813</v>
      </c>
      <c r="D1436" s="166">
        <v>523</v>
      </c>
      <c r="E1436" s="166" t="s">
        <v>1102</v>
      </c>
      <c r="F1436" s="166">
        <v>2325.6376458112409</v>
      </c>
    </row>
    <row r="1437" spans="1:6">
      <c r="A1437" s="403">
        <v>2839</v>
      </c>
      <c r="B1437" s="403">
        <v>52</v>
      </c>
      <c r="C1437" s="166">
        <v>813</v>
      </c>
      <c r="D1437" s="166">
        <v>523</v>
      </c>
      <c r="E1437" s="166" t="s">
        <v>1102</v>
      </c>
      <c r="F1437" s="166">
        <v>2325.6376458112409</v>
      </c>
    </row>
    <row r="1438" spans="1:6">
      <c r="A1438" s="403">
        <v>2840</v>
      </c>
      <c r="B1438" s="403">
        <v>52</v>
      </c>
      <c r="C1438" s="166">
        <v>813</v>
      </c>
      <c r="D1438" s="166">
        <v>523</v>
      </c>
      <c r="E1438" s="166" t="s">
        <v>1102</v>
      </c>
      <c r="F1438" s="166">
        <v>2325.6376458112409</v>
      </c>
    </row>
    <row r="1439" spans="1:6">
      <c r="A1439" s="403">
        <v>2842</v>
      </c>
      <c r="B1439" s="403">
        <v>56</v>
      </c>
      <c r="C1439" s="166">
        <v>1164</v>
      </c>
      <c r="D1439" s="166">
        <v>283</v>
      </c>
      <c r="E1439" s="166" t="s">
        <v>1102</v>
      </c>
      <c r="F1439" s="166">
        <v>1552.0221730308053</v>
      </c>
    </row>
    <row r="1440" spans="1:6">
      <c r="A1440" s="403">
        <v>2843</v>
      </c>
      <c r="B1440" s="403">
        <v>56</v>
      </c>
      <c r="C1440" s="166">
        <v>1164</v>
      </c>
      <c r="D1440" s="166">
        <v>283</v>
      </c>
      <c r="E1440" s="166" t="s">
        <v>1102</v>
      </c>
      <c r="F1440" s="166">
        <v>1552.0221730308053</v>
      </c>
    </row>
    <row r="1441" spans="1:6">
      <c r="A1441" s="403">
        <v>2844</v>
      </c>
      <c r="B1441" s="403">
        <v>56</v>
      </c>
      <c r="C1441" s="166">
        <v>1164</v>
      </c>
      <c r="D1441" s="166">
        <v>283</v>
      </c>
      <c r="E1441" s="166" t="s">
        <v>1102</v>
      </c>
      <c r="F1441" s="166">
        <v>1552.0221730308053</v>
      </c>
    </row>
    <row r="1442" spans="1:6">
      <c r="A1442" s="403">
        <v>2845</v>
      </c>
      <c r="B1442" s="403">
        <v>62</v>
      </c>
      <c r="C1442" s="166">
        <v>2023</v>
      </c>
      <c r="D1442" s="166">
        <v>89</v>
      </c>
      <c r="E1442" s="166" t="s">
        <v>1102</v>
      </c>
      <c r="F1442" s="166">
        <v>740.9917857142857</v>
      </c>
    </row>
    <row r="1443" spans="1:6">
      <c r="A1443" s="403">
        <v>2846</v>
      </c>
      <c r="B1443" s="403">
        <v>62</v>
      </c>
      <c r="C1443" s="166">
        <v>2023</v>
      </c>
      <c r="D1443" s="166">
        <v>89</v>
      </c>
      <c r="E1443" s="166" t="s">
        <v>1102</v>
      </c>
      <c r="F1443" s="166">
        <v>740.9917857142857</v>
      </c>
    </row>
    <row r="1444" spans="1:6">
      <c r="A1444" s="403">
        <v>2847</v>
      </c>
      <c r="B1444" s="403">
        <v>62</v>
      </c>
      <c r="C1444" s="166">
        <v>2023</v>
      </c>
      <c r="D1444" s="166">
        <v>89</v>
      </c>
      <c r="E1444" s="166" t="s">
        <v>1102</v>
      </c>
      <c r="F1444" s="166">
        <v>740.9917857142857</v>
      </c>
    </row>
    <row r="1445" spans="1:6">
      <c r="A1445" s="403">
        <v>2848</v>
      </c>
      <c r="B1445" s="403">
        <v>62</v>
      </c>
      <c r="C1445" s="166">
        <v>2023</v>
      </c>
      <c r="D1445" s="166">
        <v>89</v>
      </c>
      <c r="E1445" s="166" t="s">
        <v>1102</v>
      </c>
      <c r="F1445" s="166">
        <v>740.9917857142857</v>
      </c>
    </row>
    <row r="1446" spans="1:6">
      <c r="A1446" s="403">
        <v>2849</v>
      </c>
      <c r="B1446" s="403">
        <v>62</v>
      </c>
      <c r="C1446" s="166">
        <v>2023</v>
      </c>
      <c r="D1446" s="166">
        <v>89</v>
      </c>
      <c r="E1446" s="166" t="s">
        <v>1102</v>
      </c>
      <c r="F1446" s="166">
        <v>740.9917857142857</v>
      </c>
    </row>
    <row r="1447" spans="1:6">
      <c r="A1447" s="403">
        <v>2850</v>
      </c>
      <c r="B1447" s="403">
        <v>62</v>
      </c>
      <c r="C1447" s="166">
        <v>2023</v>
      </c>
      <c r="D1447" s="166">
        <v>89</v>
      </c>
      <c r="E1447" s="166" t="s">
        <v>1102</v>
      </c>
      <c r="F1447" s="166">
        <v>740.9917857142857</v>
      </c>
    </row>
    <row r="1448" spans="1:6">
      <c r="A1448" s="403">
        <v>2852</v>
      </c>
      <c r="B1448" s="403">
        <v>62</v>
      </c>
      <c r="C1448" s="166">
        <v>2023</v>
      </c>
      <c r="D1448" s="166">
        <v>89</v>
      </c>
      <c r="E1448" s="166" t="s">
        <v>1102</v>
      </c>
      <c r="F1448" s="166">
        <v>740.9917857142857</v>
      </c>
    </row>
    <row r="1449" spans="1:6">
      <c r="A1449" s="403">
        <v>2864</v>
      </c>
      <c r="B1449" s="403">
        <v>56</v>
      </c>
      <c r="C1449" s="166">
        <v>1164</v>
      </c>
      <c r="D1449" s="166">
        <v>283</v>
      </c>
      <c r="E1449" s="166" t="s">
        <v>1102</v>
      </c>
      <c r="F1449" s="166">
        <v>1552.0221730308053</v>
      </c>
    </row>
    <row r="1450" spans="1:6">
      <c r="A1450" s="403">
        <v>2865</v>
      </c>
      <c r="B1450" s="403">
        <v>56</v>
      </c>
      <c r="C1450" s="166">
        <v>1164</v>
      </c>
      <c r="D1450" s="166">
        <v>283</v>
      </c>
      <c r="E1450" s="166" t="s">
        <v>1102</v>
      </c>
      <c r="F1450" s="166">
        <v>1552.0221730308053</v>
      </c>
    </row>
    <row r="1451" spans="1:6">
      <c r="A1451" s="403">
        <v>2866</v>
      </c>
      <c r="B1451" s="403">
        <v>62</v>
      </c>
      <c r="C1451" s="166">
        <v>2023</v>
      </c>
      <c r="D1451" s="166">
        <v>89</v>
      </c>
      <c r="E1451" s="166" t="s">
        <v>1102</v>
      </c>
      <c r="F1451" s="166">
        <v>740.9917857142857</v>
      </c>
    </row>
    <row r="1452" spans="1:6">
      <c r="A1452" s="403">
        <v>2867</v>
      </c>
      <c r="B1452" s="403">
        <v>62</v>
      </c>
      <c r="C1452" s="166">
        <v>2023</v>
      </c>
      <c r="D1452" s="166">
        <v>89</v>
      </c>
      <c r="E1452" s="166" t="s">
        <v>1102</v>
      </c>
      <c r="F1452" s="166">
        <v>740.9917857142857</v>
      </c>
    </row>
    <row r="1453" spans="1:6">
      <c r="A1453" s="403">
        <v>2868</v>
      </c>
      <c r="B1453" s="403">
        <v>56</v>
      </c>
      <c r="C1453" s="166">
        <v>1164</v>
      </c>
      <c r="D1453" s="166">
        <v>283</v>
      </c>
      <c r="E1453" s="166" t="s">
        <v>1102</v>
      </c>
      <c r="F1453" s="166">
        <v>1552.0221730308053</v>
      </c>
    </row>
    <row r="1454" spans="1:6">
      <c r="A1454" s="403">
        <v>2869</v>
      </c>
      <c r="B1454" s="403">
        <v>56</v>
      </c>
      <c r="C1454" s="166">
        <v>1164</v>
      </c>
      <c r="D1454" s="166">
        <v>283</v>
      </c>
      <c r="E1454" s="166" t="s">
        <v>1102</v>
      </c>
      <c r="F1454" s="166">
        <v>1552.0221730308053</v>
      </c>
    </row>
    <row r="1455" spans="1:6">
      <c r="A1455" s="403">
        <v>2870</v>
      </c>
      <c r="B1455" s="403">
        <v>56</v>
      </c>
      <c r="C1455" s="166">
        <v>1164</v>
      </c>
      <c r="D1455" s="166">
        <v>283</v>
      </c>
      <c r="E1455" s="166" t="s">
        <v>1102</v>
      </c>
      <c r="F1455" s="166">
        <v>1552.0221730308053</v>
      </c>
    </row>
    <row r="1456" spans="1:6">
      <c r="A1456" s="403">
        <v>2871</v>
      </c>
      <c r="B1456" s="403">
        <v>56</v>
      </c>
      <c r="C1456" s="166">
        <v>1164</v>
      </c>
      <c r="D1456" s="166">
        <v>283</v>
      </c>
      <c r="E1456" s="166" t="s">
        <v>1102</v>
      </c>
      <c r="F1456" s="166">
        <v>1552.0221730308053</v>
      </c>
    </row>
    <row r="1457" spans="1:6">
      <c r="A1457" s="403">
        <v>2873</v>
      </c>
      <c r="B1457" s="403">
        <v>56</v>
      </c>
      <c r="C1457" s="166">
        <v>1164</v>
      </c>
      <c r="D1457" s="166">
        <v>283</v>
      </c>
      <c r="E1457" s="166" t="s">
        <v>1102</v>
      </c>
      <c r="F1457" s="166">
        <v>1552.0221730308053</v>
      </c>
    </row>
    <row r="1458" spans="1:6">
      <c r="A1458" s="403">
        <v>2874</v>
      </c>
      <c r="B1458" s="403">
        <v>56</v>
      </c>
      <c r="C1458" s="166">
        <v>1164</v>
      </c>
      <c r="D1458" s="166">
        <v>283</v>
      </c>
      <c r="E1458" s="166" t="s">
        <v>1102</v>
      </c>
      <c r="F1458" s="166">
        <v>1552.0221730308053</v>
      </c>
    </row>
    <row r="1459" spans="1:6">
      <c r="A1459" s="403">
        <v>2875</v>
      </c>
      <c r="B1459" s="403">
        <v>56</v>
      </c>
      <c r="C1459" s="166">
        <v>1164</v>
      </c>
      <c r="D1459" s="166">
        <v>283</v>
      </c>
      <c r="E1459" s="166" t="s">
        <v>1102</v>
      </c>
      <c r="F1459" s="166">
        <v>1552.0221730308053</v>
      </c>
    </row>
    <row r="1460" spans="1:6">
      <c r="A1460" s="403">
        <v>2876</v>
      </c>
      <c r="B1460" s="403">
        <v>56</v>
      </c>
      <c r="C1460" s="166">
        <v>1164</v>
      </c>
      <c r="D1460" s="166">
        <v>283</v>
      </c>
      <c r="E1460" s="166" t="s">
        <v>1102</v>
      </c>
      <c r="F1460" s="166">
        <v>1552.0221730308053</v>
      </c>
    </row>
    <row r="1461" spans="1:6">
      <c r="A1461" s="403">
        <v>2877</v>
      </c>
      <c r="B1461" s="403">
        <v>56</v>
      </c>
      <c r="C1461" s="166">
        <v>1164</v>
      </c>
      <c r="D1461" s="166">
        <v>283</v>
      </c>
      <c r="E1461" s="166" t="s">
        <v>1102</v>
      </c>
      <c r="F1461" s="166">
        <v>1552.0221730308053</v>
      </c>
    </row>
    <row r="1462" spans="1:6">
      <c r="A1462" s="403">
        <v>2878</v>
      </c>
      <c r="B1462" s="403">
        <v>52</v>
      </c>
      <c r="C1462" s="166">
        <v>813</v>
      </c>
      <c r="D1462" s="166">
        <v>523</v>
      </c>
      <c r="E1462" s="166" t="s">
        <v>1102</v>
      </c>
      <c r="F1462" s="166">
        <v>2325.6376458112409</v>
      </c>
    </row>
    <row r="1463" spans="1:6">
      <c r="A1463" s="403">
        <v>2879</v>
      </c>
      <c r="B1463" s="403">
        <v>53</v>
      </c>
      <c r="C1463" s="166">
        <v>1112</v>
      </c>
      <c r="D1463" s="166">
        <v>230</v>
      </c>
      <c r="E1463" s="166" t="s">
        <v>1102</v>
      </c>
      <c r="F1463" s="166">
        <v>2454.8359472049692</v>
      </c>
    </row>
    <row r="1464" spans="1:6">
      <c r="A1464" s="403">
        <v>2880</v>
      </c>
      <c r="B1464" s="403">
        <v>53</v>
      </c>
      <c r="C1464" s="166">
        <v>1112</v>
      </c>
      <c r="D1464" s="166">
        <v>230</v>
      </c>
      <c r="E1464" s="166" t="s">
        <v>1102</v>
      </c>
      <c r="F1464" s="166">
        <v>2454.8359472049692</v>
      </c>
    </row>
    <row r="1465" spans="1:6">
      <c r="A1465" s="403">
        <v>2890</v>
      </c>
      <c r="B1465" s="403">
        <v>63</v>
      </c>
      <c r="C1465" s="166">
        <v>642</v>
      </c>
      <c r="D1465" s="166">
        <v>541</v>
      </c>
      <c r="E1465" s="166" t="s">
        <v>1102</v>
      </c>
      <c r="F1465" s="166">
        <v>751.44065116284287</v>
      </c>
    </row>
    <row r="1466" spans="1:6">
      <c r="A1466" s="403">
        <v>2891</v>
      </c>
      <c r="B1466" s="403">
        <v>63</v>
      </c>
      <c r="C1466" s="166">
        <v>642</v>
      </c>
      <c r="D1466" s="166">
        <v>541</v>
      </c>
      <c r="E1466" s="166" t="s">
        <v>1102</v>
      </c>
      <c r="F1466" s="166">
        <v>751.44065116284287</v>
      </c>
    </row>
    <row r="1467" spans="1:6">
      <c r="A1467" s="403">
        <v>2898</v>
      </c>
      <c r="B1467" s="403">
        <v>63</v>
      </c>
      <c r="C1467" s="166">
        <v>642</v>
      </c>
      <c r="D1467" s="166">
        <v>541</v>
      </c>
      <c r="E1467" s="166" t="s">
        <v>1102</v>
      </c>
      <c r="F1467" s="166">
        <v>751.44065116284287</v>
      </c>
    </row>
    <row r="1468" spans="1:6">
      <c r="A1468" s="403">
        <v>2899</v>
      </c>
      <c r="B1468" s="403">
        <v>63</v>
      </c>
      <c r="C1468" s="166">
        <v>642</v>
      </c>
      <c r="D1468" s="166">
        <v>541</v>
      </c>
      <c r="E1468" s="166" t="s">
        <v>1102</v>
      </c>
      <c r="F1468" s="166">
        <v>751.44065116284287</v>
      </c>
    </row>
    <row r="1469" spans="1:6">
      <c r="A1469" s="403">
        <v>2900</v>
      </c>
      <c r="B1469" s="403">
        <v>64</v>
      </c>
      <c r="C1469" s="166">
        <v>2186</v>
      </c>
      <c r="D1469" s="166">
        <v>80</v>
      </c>
      <c r="E1469" s="166" t="s">
        <v>1101</v>
      </c>
      <c r="F1469" s="166">
        <v>999.79774011299048</v>
      </c>
    </row>
    <row r="1470" spans="1:6">
      <c r="A1470" s="403">
        <v>2901</v>
      </c>
      <c r="B1470" s="403">
        <v>64</v>
      </c>
      <c r="C1470" s="166">
        <v>2186</v>
      </c>
      <c r="D1470" s="166">
        <v>80</v>
      </c>
      <c r="E1470" s="166" t="s">
        <v>1101</v>
      </c>
      <c r="F1470" s="166">
        <v>999.79774011299048</v>
      </c>
    </row>
    <row r="1471" spans="1:6">
      <c r="A1471" s="403">
        <v>2902</v>
      </c>
      <c r="B1471" s="403">
        <v>64</v>
      </c>
      <c r="C1471" s="166">
        <v>2186</v>
      </c>
      <c r="D1471" s="166">
        <v>80</v>
      </c>
      <c r="E1471" s="166" t="s">
        <v>1101</v>
      </c>
      <c r="F1471" s="166">
        <v>999.79774011299048</v>
      </c>
    </row>
    <row r="1472" spans="1:6">
      <c r="A1472" s="403">
        <v>2903</v>
      </c>
      <c r="B1472" s="403">
        <v>64</v>
      </c>
      <c r="C1472" s="166">
        <v>2186</v>
      </c>
      <c r="D1472" s="166">
        <v>80</v>
      </c>
      <c r="E1472" s="166" t="s">
        <v>1101</v>
      </c>
      <c r="F1472" s="166">
        <v>999.79774011299048</v>
      </c>
    </row>
    <row r="1473" spans="1:6">
      <c r="A1473" s="403">
        <v>2904</v>
      </c>
      <c r="B1473" s="403">
        <v>64</v>
      </c>
      <c r="C1473" s="166">
        <v>2186</v>
      </c>
      <c r="D1473" s="166">
        <v>80</v>
      </c>
      <c r="E1473" s="166" t="s">
        <v>1101</v>
      </c>
      <c r="F1473" s="166">
        <v>999.79774011299048</v>
      </c>
    </row>
    <row r="1474" spans="1:6">
      <c r="A1474" s="403">
        <v>2905</v>
      </c>
      <c r="B1474" s="403">
        <v>64</v>
      </c>
      <c r="C1474" s="166">
        <v>2186</v>
      </c>
      <c r="D1474" s="166">
        <v>80</v>
      </c>
      <c r="E1474" s="166" t="s">
        <v>1101</v>
      </c>
      <c r="F1474" s="166">
        <v>999.79774011299048</v>
      </c>
    </row>
    <row r="1475" spans="1:6">
      <c r="A1475" s="403">
        <v>2906</v>
      </c>
      <c r="B1475" s="403">
        <v>64</v>
      </c>
      <c r="C1475" s="166">
        <v>2186</v>
      </c>
      <c r="D1475" s="166">
        <v>80</v>
      </c>
      <c r="E1475" s="166" t="s">
        <v>1101</v>
      </c>
      <c r="F1475" s="166">
        <v>999.79774011299048</v>
      </c>
    </row>
    <row r="1476" spans="1:6">
      <c r="A1476" s="403">
        <v>2911</v>
      </c>
      <c r="B1476" s="403">
        <v>64</v>
      </c>
      <c r="C1476" s="166">
        <v>2186</v>
      </c>
      <c r="D1476" s="166">
        <v>80</v>
      </c>
      <c r="E1476" s="166" t="s">
        <v>1101</v>
      </c>
      <c r="F1476" s="166">
        <v>999.79774011299048</v>
      </c>
    </row>
    <row r="1477" spans="1:6">
      <c r="A1477" s="403">
        <v>2912</v>
      </c>
      <c r="B1477" s="403">
        <v>64</v>
      </c>
      <c r="C1477" s="166">
        <v>2186</v>
      </c>
      <c r="D1477" s="166">
        <v>80</v>
      </c>
      <c r="E1477" s="166" t="s">
        <v>1101</v>
      </c>
      <c r="F1477" s="166">
        <v>999.79774011299048</v>
      </c>
    </row>
    <row r="1478" spans="1:6">
      <c r="A1478" s="403">
        <v>2913</v>
      </c>
      <c r="B1478" s="403">
        <v>64</v>
      </c>
      <c r="C1478" s="166">
        <v>2186</v>
      </c>
      <c r="D1478" s="166">
        <v>80</v>
      </c>
      <c r="E1478" s="166" t="s">
        <v>1101</v>
      </c>
      <c r="F1478" s="166">
        <v>999.79774011299048</v>
      </c>
    </row>
    <row r="1479" spans="1:6">
      <c r="A1479" s="403">
        <v>2914</v>
      </c>
      <c r="B1479" s="403">
        <v>64</v>
      </c>
      <c r="C1479" s="166">
        <v>2186</v>
      </c>
      <c r="D1479" s="166">
        <v>80</v>
      </c>
      <c r="E1479" s="166" t="s">
        <v>1101</v>
      </c>
      <c r="F1479" s="166">
        <v>999.79774011299048</v>
      </c>
    </row>
    <row r="1480" spans="1:6">
      <c r="A1480" s="403">
        <v>3000</v>
      </c>
      <c r="B1480" s="403">
        <v>18</v>
      </c>
      <c r="C1480" s="166">
        <v>1590</v>
      </c>
      <c r="D1480" s="166">
        <v>100</v>
      </c>
      <c r="E1480" s="166" t="s">
        <v>1107</v>
      </c>
      <c r="F1480" s="166">
        <v>769.37262842144253</v>
      </c>
    </row>
    <row r="1481" spans="1:6">
      <c r="A1481" s="403">
        <v>3001</v>
      </c>
      <c r="B1481" s="403">
        <v>18</v>
      </c>
      <c r="C1481" s="166">
        <v>1590</v>
      </c>
      <c r="D1481" s="166">
        <v>100</v>
      </c>
      <c r="E1481" s="166" t="s">
        <v>1107</v>
      </c>
      <c r="F1481" s="166">
        <v>769.37262842144253</v>
      </c>
    </row>
    <row r="1482" spans="1:6">
      <c r="A1482" s="403">
        <v>3002</v>
      </c>
      <c r="B1482" s="403">
        <v>18</v>
      </c>
      <c r="C1482" s="166">
        <v>1590</v>
      </c>
      <c r="D1482" s="166">
        <v>100</v>
      </c>
      <c r="E1482" s="166" t="s">
        <v>1107</v>
      </c>
      <c r="F1482" s="166">
        <v>769.37262842144253</v>
      </c>
    </row>
    <row r="1483" spans="1:6">
      <c r="A1483" s="403">
        <v>3003</v>
      </c>
      <c r="B1483" s="403">
        <v>18</v>
      </c>
      <c r="C1483" s="166">
        <v>1590</v>
      </c>
      <c r="D1483" s="166">
        <v>100</v>
      </c>
      <c r="E1483" s="166" t="s">
        <v>1107</v>
      </c>
      <c r="F1483" s="166">
        <v>769.37262842144253</v>
      </c>
    </row>
    <row r="1484" spans="1:6">
      <c r="A1484" s="403">
        <v>3004</v>
      </c>
      <c r="B1484" s="403">
        <v>18</v>
      </c>
      <c r="C1484" s="166">
        <v>1590</v>
      </c>
      <c r="D1484" s="166">
        <v>100</v>
      </c>
      <c r="E1484" s="166" t="s">
        <v>1107</v>
      </c>
      <c r="F1484" s="166">
        <v>769.37262842144253</v>
      </c>
    </row>
    <row r="1485" spans="1:6">
      <c r="A1485" s="403">
        <v>3005</v>
      </c>
      <c r="B1485" s="403">
        <v>18</v>
      </c>
      <c r="C1485" s="166">
        <v>1590</v>
      </c>
      <c r="D1485" s="166">
        <v>100</v>
      </c>
      <c r="E1485" s="166" t="s">
        <v>1107</v>
      </c>
      <c r="F1485" s="166">
        <v>769.37262842144253</v>
      </c>
    </row>
    <row r="1486" spans="1:6">
      <c r="A1486" s="403">
        <v>3006</v>
      </c>
      <c r="B1486" s="403">
        <v>18</v>
      </c>
      <c r="C1486" s="166">
        <v>1590</v>
      </c>
      <c r="D1486" s="166">
        <v>100</v>
      </c>
      <c r="E1486" s="166" t="s">
        <v>1107</v>
      </c>
      <c r="F1486" s="166">
        <v>769.37262842144253</v>
      </c>
    </row>
    <row r="1487" spans="1:6">
      <c r="A1487" s="403">
        <v>3008</v>
      </c>
      <c r="B1487" s="403">
        <v>18</v>
      </c>
      <c r="C1487" s="166">
        <v>1590</v>
      </c>
      <c r="D1487" s="166">
        <v>100</v>
      </c>
      <c r="E1487" s="166" t="s">
        <v>1107</v>
      </c>
      <c r="F1487" s="166">
        <v>769.37262842144253</v>
      </c>
    </row>
    <row r="1488" spans="1:6">
      <c r="A1488" s="403">
        <v>3010</v>
      </c>
      <c r="B1488" s="403">
        <v>18</v>
      </c>
      <c r="C1488" s="166">
        <v>1590</v>
      </c>
      <c r="D1488" s="166">
        <v>100</v>
      </c>
      <c r="E1488" s="166" t="s">
        <v>1107</v>
      </c>
      <c r="F1488" s="166">
        <v>769.37262842144253</v>
      </c>
    </row>
    <row r="1489" spans="1:6">
      <c r="A1489" s="403">
        <v>3011</v>
      </c>
      <c r="B1489" s="403">
        <v>18</v>
      </c>
      <c r="C1489" s="166">
        <v>1590</v>
      </c>
      <c r="D1489" s="166">
        <v>100</v>
      </c>
      <c r="E1489" s="166" t="s">
        <v>1107</v>
      </c>
      <c r="F1489" s="166">
        <v>769.37262842144253</v>
      </c>
    </row>
    <row r="1490" spans="1:6">
      <c r="A1490" s="403">
        <v>3012</v>
      </c>
      <c r="B1490" s="403">
        <v>18</v>
      </c>
      <c r="C1490" s="166">
        <v>1590</v>
      </c>
      <c r="D1490" s="166">
        <v>100</v>
      </c>
      <c r="E1490" s="166" t="s">
        <v>1107</v>
      </c>
      <c r="F1490" s="166">
        <v>769.37262842144253</v>
      </c>
    </row>
    <row r="1491" spans="1:6">
      <c r="A1491" s="403">
        <v>3013</v>
      </c>
      <c r="B1491" s="403">
        <v>18</v>
      </c>
      <c r="C1491" s="166">
        <v>1590</v>
      </c>
      <c r="D1491" s="166">
        <v>100</v>
      </c>
      <c r="E1491" s="166" t="s">
        <v>1107</v>
      </c>
      <c r="F1491" s="166">
        <v>769.37262842144253</v>
      </c>
    </row>
    <row r="1492" spans="1:6">
      <c r="A1492" s="403">
        <v>3015</v>
      </c>
      <c r="B1492" s="403">
        <v>18</v>
      </c>
      <c r="C1492" s="166">
        <v>1590</v>
      </c>
      <c r="D1492" s="166">
        <v>100</v>
      </c>
      <c r="E1492" s="166" t="s">
        <v>1107</v>
      </c>
      <c r="F1492" s="166">
        <v>769.37262842144253</v>
      </c>
    </row>
    <row r="1493" spans="1:6">
      <c r="A1493" s="403">
        <v>3016</v>
      </c>
      <c r="B1493" s="403">
        <v>18</v>
      </c>
      <c r="C1493" s="166">
        <v>1590</v>
      </c>
      <c r="D1493" s="166">
        <v>100</v>
      </c>
      <c r="E1493" s="166" t="s">
        <v>1107</v>
      </c>
      <c r="F1493" s="166">
        <v>769.37262842144253</v>
      </c>
    </row>
    <row r="1494" spans="1:6">
      <c r="A1494" s="403">
        <v>3018</v>
      </c>
      <c r="B1494" s="403">
        <v>18</v>
      </c>
      <c r="C1494" s="166">
        <v>1590</v>
      </c>
      <c r="D1494" s="166">
        <v>100</v>
      </c>
      <c r="E1494" s="166" t="s">
        <v>1107</v>
      </c>
      <c r="F1494" s="166">
        <v>769.37262842144253</v>
      </c>
    </row>
    <row r="1495" spans="1:6">
      <c r="A1495" s="403">
        <v>3019</v>
      </c>
      <c r="B1495" s="403">
        <v>18</v>
      </c>
      <c r="C1495" s="166">
        <v>1590</v>
      </c>
      <c r="D1495" s="166">
        <v>100</v>
      </c>
      <c r="E1495" s="166" t="s">
        <v>1107</v>
      </c>
      <c r="F1495" s="166">
        <v>769.37262842144253</v>
      </c>
    </row>
    <row r="1496" spans="1:6">
      <c r="A1496" s="403">
        <v>3020</v>
      </c>
      <c r="B1496" s="403">
        <v>18</v>
      </c>
      <c r="C1496" s="166">
        <v>1590</v>
      </c>
      <c r="D1496" s="166">
        <v>100</v>
      </c>
      <c r="E1496" s="166" t="s">
        <v>1107</v>
      </c>
      <c r="F1496" s="166">
        <v>769.37262842144253</v>
      </c>
    </row>
    <row r="1497" spans="1:6">
      <c r="A1497" s="403">
        <v>3021</v>
      </c>
      <c r="B1497" s="403">
        <v>18</v>
      </c>
      <c r="C1497" s="166">
        <v>1590</v>
      </c>
      <c r="D1497" s="166">
        <v>100</v>
      </c>
      <c r="E1497" s="166" t="s">
        <v>1107</v>
      </c>
      <c r="F1497" s="166">
        <v>769.37262842144253</v>
      </c>
    </row>
    <row r="1498" spans="1:6">
      <c r="A1498" s="403">
        <v>3022</v>
      </c>
      <c r="B1498" s="403">
        <v>18</v>
      </c>
      <c r="C1498" s="166">
        <v>1590</v>
      </c>
      <c r="D1498" s="166">
        <v>100</v>
      </c>
      <c r="E1498" s="166" t="s">
        <v>1107</v>
      </c>
      <c r="F1498" s="166">
        <v>769.37262842144253</v>
      </c>
    </row>
    <row r="1499" spans="1:6">
      <c r="A1499" s="403">
        <v>3023</v>
      </c>
      <c r="B1499" s="403">
        <v>18</v>
      </c>
      <c r="C1499" s="166">
        <v>1590</v>
      </c>
      <c r="D1499" s="166">
        <v>100</v>
      </c>
      <c r="E1499" s="166" t="s">
        <v>1107</v>
      </c>
      <c r="F1499" s="166">
        <v>769.37262842144253</v>
      </c>
    </row>
    <row r="1500" spans="1:6">
      <c r="A1500" s="403">
        <v>3024</v>
      </c>
      <c r="B1500" s="403">
        <v>18</v>
      </c>
      <c r="C1500" s="166">
        <v>1590</v>
      </c>
      <c r="D1500" s="166">
        <v>100</v>
      </c>
      <c r="E1500" s="166" t="s">
        <v>1107</v>
      </c>
      <c r="F1500" s="166">
        <v>769.37262842144253</v>
      </c>
    </row>
    <row r="1501" spans="1:6">
      <c r="A1501" s="403">
        <v>3025</v>
      </c>
      <c r="B1501" s="403">
        <v>18</v>
      </c>
      <c r="C1501" s="166">
        <v>1590</v>
      </c>
      <c r="D1501" s="166">
        <v>100</v>
      </c>
      <c r="E1501" s="166" t="s">
        <v>1107</v>
      </c>
      <c r="F1501" s="166">
        <v>769.37262842144253</v>
      </c>
    </row>
    <row r="1502" spans="1:6">
      <c r="A1502" s="403">
        <v>3026</v>
      </c>
      <c r="B1502" s="403">
        <v>18</v>
      </c>
      <c r="C1502" s="166">
        <v>1590</v>
      </c>
      <c r="D1502" s="166">
        <v>100</v>
      </c>
      <c r="E1502" s="166" t="s">
        <v>1107</v>
      </c>
      <c r="F1502" s="166">
        <v>769.37262842144253</v>
      </c>
    </row>
    <row r="1503" spans="1:6">
      <c r="A1503" s="403">
        <v>3028</v>
      </c>
      <c r="B1503" s="403">
        <v>18</v>
      </c>
      <c r="C1503" s="166">
        <v>1590</v>
      </c>
      <c r="D1503" s="166">
        <v>100</v>
      </c>
      <c r="E1503" s="166" t="s">
        <v>1107</v>
      </c>
      <c r="F1503" s="166">
        <v>769.37262842144253</v>
      </c>
    </row>
    <row r="1504" spans="1:6">
      <c r="A1504" s="403">
        <v>3029</v>
      </c>
      <c r="B1504" s="403">
        <v>18</v>
      </c>
      <c r="C1504" s="166">
        <v>1590</v>
      </c>
      <c r="D1504" s="166">
        <v>100</v>
      </c>
      <c r="E1504" s="166" t="s">
        <v>1107</v>
      </c>
      <c r="F1504" s="166">
        <v>769.37262842144253</v>
      </c>
    </row>
    <row r="1505" spans="1:6">
      <c r="A1505" s="403">
        <v>3030</v>
      </c>
      <c r="B1505" s="403">
        <v>18</v>
      </c>
      <c r="C1505" s="166">
        <v>1590</v>
      </c>
      <c r="D1505" s="166">
        <v>100</v>
      </c>
      <c r="E1505" s="166" t="s">
        <v>1107</v>
      </c>
      <c r="F1505" s="166">
        <v>769.37262842144253</v>
      </c>
    </row>
    <row r="1506" spans="1:6">
      <c r="A1506" s="403">
        <v>3031</v>
      </c>
      <c r="B1506" s="403">
        <v>18</v>
      </c>
      <c r="C1506" s="166">
        <v>1590</v>
      </c>
      <c r="D1506" s="166">
        <v>100</v>
      </c>
      <c r="E1506" s="166" t="s">
        <v>1107</v>
      </c>
      <c r="F1506" s="166">
        <v>769.37262842144253</v>
      </c>
    </row>
    <row r="1507" spans="1:6">
      <c r="A1507" s="403">
        <v>3032</v>
      </c>
      <c r="B1507" s="403">
        <v>18</v>
      </c>
      <c r="C1507" s="166">
        <v>1590</v>
      </c>
      <c r="D1507" s="166">
        <v>100</v>
      </c>
      <c r="E1507" s="166" t="s">
        <v>1107</v>
      </c>
      <c r="F1507" s="166">
        <v>769.37262842144253</v>
      </c>
    </row>
    <row r="1508" spans="1:6">
      <c r="A1508" s="403">
        <v>3033</v>
      </c>
      <c r="B1508" s="403">
        <v>18</v>
      </c>
      <c r="C1508" s="166">
        <v>1590</v>
      </c>
      <c r="D1508" s="166">
        <v>100</v>
      </c>
      <c r="E1508" s="166" t="s">
        <v>1107</v>
      </c>
      <c r="F1508" s="166">
        <v>769.37262842144253</v>
      </c>
    </row>
    <row r="1509" spans="1:6">
      <c r="A1509" s="403">
        <v>3034</v>
      </c>
      <c r="B1509" s="403">
        <v>18</v>
      </c>
      <c r="C1509" s="166">
        <v>1590</v>
      </c>
      <c r="D1509" s="166">
        <v>100</v>
      </c>
      <c r="E1509" s="166" t="s">
        <v>1107</v>
      </c>
      <c r="F1509" s="166">
        <v>769.37262842144253</v>
      </c>
    </row>
    <row r="1510" spans="1:6">
      <c r="A1510" s="403">
        <v>3036</v>
      </c>
      <c r="B1510" s="403">
        <v>18</v>
      </c>
      <c r="C1510" s="166">
        <v>1590</v>
      </c>
      <c r="D1510" s="166">
        <v>100</v>
      </c>
      <c r="E1510" s="166" t="s">
        <v>1107</v>
      </c>
      <c r="F1510" s="166">
        <v>769.37262842144253</v>
      </c>
    </row>
    <row r="1511" spans="1:6">
      <c r="A1511" s="403">
        <v>3037</v>
      </c>
      <c r="B1511" s="403">
        <v>18</v>
      </c>
      <c r="C1511" s="166">
        <v>1590</v>
      </c>
      <c r="D1511" s="166">
        <v>100</v>
      </c>
      <c r="E1511" s="166" t="s">
        <v>1107</v>
      </c>
      <c r="F1511" s="166">
        <v>769.37262842144253</v>
      </c>
    </row>
    <row r="1512" spans="1:6">
      <c r="A1512" s="403">
        <v>3038</v>
      </c>
      <c r="B1512" s="403">
        <v>18</v>
      </c>
      <c r="C1512" s="166">
        <v>1590</v>
      </c>
      <c r="D1512" s="166">
        <v>100</v>
      </c>
      <c r="E1512" s="166" t="s">
        <v>1107</v>
      </c>
      <c r="F1512" s="166">
        <v>769.37262842144253</v>
      </c>
    </row>
    <row r="1513" spans="1:6">
      <c r="A1513" s="403">
        <v>3039</v>
      </c>
      <c r="B1513" s="403">
        <v>18</v>
      </c>
      <c r="C1513" s="166">
        <v>1590</v>
      </c>
      <c r="D1513" s="166">
        <v>100</v>
      </c>
      <c r="E1513" s="166" t="s">
        <v>1107</v>
      </c>
      <c r="F1513" s="166">
        <v>769.37262842144253</v>
      </c>
    </row>
    <row r="1514" spans="1:6">
      <c r="A1514" s="403">
        <v>3040</v>
      </c>
      <c r="B1514" s="403">
        <v>18</v>
      </c>
      <c r="C1514" s="166">
        <v>1590</v>
      </c>
      <c r="D1514" s="166">
        <v>100</v>
      </c>
      <c r="E1514" s="166" t="s">
        <v>1107</v>
      </c>
      <c r="F1514" s="166">
        <v>769.37262842144253</v>
      </c>
    </row>
    <row r="1515" spans="1:6">
      <c r="A1515" s="403">
        <v>3041</v>
      </c>
      <c r="B1515" s="403">
        <v>18</v>
      </c>
      <c r="C1515" s="166">
        <v>1590</v>
      </c>
      <c r="D1515" s="166">
        <v>100</v>
      </c>
      <c r="E1515" s="166" t="s">
        <v>1107</v>
      </c>
      <c r="F1515" s="166">
        <v>769.37262842144253</v>
      </c>
    </row>
    <row r="1516" spans="1:6">
      <c r="A1516" s="403">
        <v>3042</v>
      </c>
      <c r="B1516" s="403">
        <v>18</v>
      </c>
      <c r="C1516" s="166">
        <v>1590</v>
      </c>
      <c r="D1516" s="166">
        <v>100</v>
      </c>
      <c r="E1516" s="166" t="s">
        <v>1107</v>
      </c>
      <c r="F1516" s="166">
        <v>769.37262842144253</v>
      </c>
    </row>
    <row r="1517" spans="1:6">
      <c r="A1517" s="403">
        <v>3043</v>
      </c>
      <c r="B1517" s="403">
        <v>18</v>
      </c>
      <c r="C1517" s="166">
        <v>1590</v>
      </c>
      <c r="D1517" s="166">
        <v>100</v>
      </c>
      <c r="E1517" s="166" t="s">
        <v>1107</v>
      </c>
      <c r="F1517" s="166">
        <v>769.37262842144253</v>
      </c>
    </row>
    <row r="1518" spans="1:6">
      <c r="A1518" s="403">
        <v>3044</v>
      </c>
      <c r="B1518" s="403">
        <v>18</v>
      </c>
      <c r="C1518" s="166">
        <v>1590</v>
      </c>
      <c r="D1518" s="166">
        <v>100</v>
      </c>
      <c r="E1518" s="166" t="s">
        <v>1107</v>
      </c>
      <c r="F1518" s="166">
        <v>769.37262842144253</v>
      </c>
    </row>
    <row r="1519" spans="1:6">
      <c r="A1519" s="403">
        <v>3045</v>
      </c>
      <c r="B1519" s="403">
        <v>18</v>
      </c>
      <c r="C1519" s="166">
        <v>1590</v>
      </c>
      <c r="D1519" s="166">
        <v>100</v>
      </c>
      <c r="E1519" s="166" t="s">
        <v>1107</v>
      </c>
      <c r="F1519" s="166">
        <v>769.37262842144253</v>
      </c>
    </row>
    <row r="1520" spans="1:6">
      <c r="A1520" s="403">
        <v>3046</v>
      </c>
      <c r="B1520" s="403">
        <v>18</v>
      </c>
      <c r="C1520" s="166">
        <v>1590</v>
      </c>
      <c r="D1520" s="166">
        <v>100</v>
      </c>
      <c r="E1520" s="166" t="s">
        <v>1107</v>
      </c>
      <c r="F1520" s="166">
        <v>769.37262842144253</v>
      </c>
    </row>
    <row r="1521" spans="1:6">
      <c r="A1521" s="403">
        <v>3047</v>
      </c>
      <c r="B1521" s="403">
        <v>18</v>
      </c>
      <c r="C1521" s="166">
        <v>1590</v>
      </c>
      <c r="D1521" s="166">
        <v>100</v>
      </c>
      <c r="E1521" s="166" t="s">
        <v>1107</v>
      </c>
      <c r="F1521" s="166">
        <v>769.37262842144253</v>
      </c>
    </row>
    <row r="1522" spans="1:6">
      <c r="A1522" s="403">
        <v>3048</v>
      </c>
      <c r="B1522" s="403">
        <v>18</v>
      </c>
      <c r="C1522" s="166">
        <v>1590</v>
      </c>
      <c r="D1522" s="166">
        <v>100</v>
      </c>
      <c r="E1522" s="166" t="s">
        <v>1107</v>
      </c>
      <c r="F1522" s="166">
        <v>769.37262842144253</v>
      </c>
    </row>
    <row r="1523" spans="1:6">
      <c r="A1523" s="403">
        <v>3049</v>
      </c>
      <c r="B1523" s="403">
        <v>18</v>
      </c>
      <c r="C1523" s="166">
        <v>1590</v>
      </c>
      <c r="D1523" s="166">
        <v>100</v>
      </c>
      <c r="E1523" s="166" t="s">
        <v>1107</v>
      </c>
      <c r="F1523" s="166">
        <v>769.37262842144253</v>
      </c>
    </row>
    <row r="1524" spans="1:6">
      <c r="A1524" s="403">
        <v>3050</v>
      </c>
      <c r="B1524" s="403">
        <v>18</v>
      </c>
      <c r="C1524" s="166">
        <v>1590</v>
      </c>
      <c r="D1524" s="166">
        <v>100</v>
      </c>
      <c r="E1524" s="166" t="s">
        <v>1107</v>
      </c>
      <c r="F1524" s="166">
        <v>769.37262842144253</v>
      </c>
    </row>
    <row r="1525" spans="1:6">
      <c r="A1525" s="403">
        <v>3051</v>
      </c>
      <c r="B1525" s="403">
        <v>18</v>
      </c>
      <c r="C1525" s="166">
        <v>1590</v>
      </c>
      <c r="D1525" s="166">
        <v>100</v>
      </c>
      <c r="E1525" s="166" t="s">
        <v>1107</v>
      </c>
      <c r="F1525" s="166">
        <v>769.37262842144253</v>
      </c>
    </row>
    <row r="1526" spans="1:6">
      <c r="A1526" s="403">
        <v>3052</v>
      </c>
      <c r="B1526" s="403">
        <v>18</v>
      </c>
      <c r="C1526" s="166">
        <v>1590</v>
      </c>
      <c r="D1526" s="166">
        <v>100</v>
      </c>
      <c r="E1526" s="166" t="s">
        <v>1107</v>
      </c>
      <c r="F1526" s="166">
        <v>769.37262842144253</v>
      </c>
    </row>
    <row r="1527" spans="1:6">
      <c r="A1527" s="403">
        <v>3053</v>
      </c>
      <c r="B1527" s="403">
        <v>18</v>
      </c>
      <c r="C1527" s="166">
        <v>1590</v>
      </c>
      <c r="D1527" s="166">
        <v>100</v>
      </c>
      <c r="E1527" s="166" t="s">
        <v>1107</v>
      </c>
      <c r="F1527" s="166">
        <v>769.37262842144253</v>
      </c>
    </row>
    <row r="1528" spans="1:6">
      <c r="A1528" s="403">
        <v>3054</v>
      </c>
      <c r="B1528" s="403">
        <v>18</v>
      </c>
      <c r="C1528" s="166">
        <v>1590</v>
      </c>
      <c r="D1528" s="166">
        <v>100</v>
      </c>
      <c r="E1528" s="166" t="s">
        <v>1107</v>
      </c>
      <c r="F1528" s="166">
        <v>769.37262842144253</v>
      </c>
    </row>
    <row r="1529" spans="1:6">
      <c r="A1529" s="403">
        <v>3055</v>
      </c>
      <c r="B1529" s="403">
        <v>18</v>
      </c>
      <c r="C1529" s="166">
        <v>1590</v>
      </c>
      <c r="D1529" s="166">
        <v>100</v>
      </c>
      <c r="E1529" s="166" t="s">
        <v>1107</v>
      </c>
      <c r="F1529" s="166">
        <v>769.37262842144253</v>
      </c>
    </row>
    <row r="1530" spans="1:6">
      <c r="A1530" s="403">
        <v>3056</v>
      </c>
      <c r="B1530" s="403">
        <v>18</v>
      </c>
      <c r="C1530" s="166">
        <v>1590</v>
      </c>
      <c r="D1530" s="166">
        <v>100</v>
      </c>
      <c r="E1530" s="166" t="s">
        <v>1107</v>
      </c>
      <c r="F1530" s="166">
        <v>769.37262842144253</v>
      </c>
    </row>
    <row r="1531" spans="1:6">
      <c r="A1531" s="403">
        <v>3057</v>
      </c>
      <c r="B1531" s="403">
        <v>18</v>
      </c>
      <c r="C1531" s="166">
        <v>1590</v>
      </c>
      <c r="D1531" s="166">
        <v>100</v>
      </c>
      <c r="E1531" s="166" t="s">
        <v>1107</v>
      </c>
      <c r="F1531" s="166">
        <v>769.37262842144253</v>
      </c>
    </row>
    <row r="1532" spans="1:6">
      <c r="A1532" s="403">
        <v>3058</v>
      </c>
      <c r="B1532" s="403">
        <v>18</v>
      </c>
      <c r="C1532" s="166">
        <v>1590</v>
      </c>
      <c r="D1532" s="166">
        <v>100</v>
      </c>
      <c r="E1532" s="166" t="s">
        <v>1107</v>
      </c>
      <c r="F1532" s="166">
        <v>769.37262842144253</v>
      </c>
    </row>
    <row r="1533" spans="1:6">
      <c r="A1533" s="403">
        <v>3059</v>
      </c>
      <c r="B1533" s="403">
        <v>18</v>
      </c>
      <c r="C1533" s="166">
        <v>1590</v>
      </c>
      <c r="D1533" s="166">
        <v>100</v>
      </c>
      <c r="E1533" s="166" t="s">
        <v>1107</v>
      </c>
      <c r="F1533" s="166">
        <v>769.37262842144253</v>
      </c>
    </row>
    <row r="1534" spans="1:6">
      <c r="A1534" s="403">
        <v>3060</v>
      </c>
      <c r="B1534" s="403">
        <v>18</v>
      </c>
      <c r="C1534" s="166">
        <v>1590</v>
      </c>
      <c r="D1534" s="166">
        <v>100</v>
      </c>
      <c r="E1534" s="166" t="s">
        <v>1107</v>
      </c>
      <c r="F1534" s="166">
        <v>769.37262842144253</v>
      </c>
    </row>
    <row r="1535" spans="1:6">
      <c r="A1535" s="403">
        <v>3061</v>
      </c>
      <c r="B1535" s="403">
        <v>18</v>
      </c>
      <c r="C1535" s="166">
        <v>1590</v>
      </c>
      <c r="D1535" s="166">
        <v>100</v>
      </c>
      <c r="E1535" s="166" t="s">
        <v>1107</v>
      </c>
      <c r="F1535" s="166">
        <v>769.37262842144253</v>
      </c>
    </row>
    <row r="1536" spans="1:6">
      <c r="A1536" s="403">
        <v>3062</v>
      </c>
      <c r="B1536" s="403">
        <v>18</v>
      </c>
      <c r="C1536" s="166">
        <v>1590</v>
      </c>
      <c r="D1536" s="166">
        <v>100</v>
      </c>
      <c r="E1536" s="166" t="s">
        <v>1107</v>
      </c>
      <c r="F1536" s="166">
        <v>769.37262842144253</v>
      </c>
    </row>
    <row r="1537" spans="1:6">
      <c r="A1537" s="403">
        <v>3063</v>
      </c>
      <c r="B1537" s="403">
        <v>18</v>
      </c>
      <c r="C1537" s="166">
        <v>1590</v>
      </c>
      <c r="D1537" s="166">
        <v>100</v>
      </c>
      <c r="E1537" s="166" t="s">
        <v>1107</v>
      </c>
      <c r="F1537" s="166">
        <v>769.37262842144253</v>
      </c>
    </row>
    <row r="1538" spans="1:6">
      <c r="A1538" s="403">
        <v>3064</v>
      </c>
      <c r="B1538" s="403">
        <v>18</v>
      </c>
      <c r="C1538" s="166">
        <v>1590</v>
      </c>
      <c r="D1538" s="166">
        <v>100</v>
      </c>
      <c r="E1538" s="166" t="s">
        <v>1107</v>
      </c>
      <c r="F1538" s="166">
        <v>769.37262842144253</v>
      </c>
    </row>
    <row r="1539" spans="1:6">
      <c r="A1539" s="403">
        <v>3065</v>
      </c>
      <c r="B1539" s="403">
        <v>18</v>
      </c>
      <c r="C1539" s="166">
        <v>1590</v>
      </c>
      <c r="D1539" s="166">
        <v>100</v>
      </c>
      <c r="E1539" s="166" t="s">
        <v>1107</v>
      </c>
      <c r="F1539" s="166">
        <v>769.37262842144253</v>
      </c>
    </row>
    <row r="1540" spans="1:6">
      <c r="A1540" s="403">
        <v>3066</v>
      </c>
      <c r="B1540" s="403">
        <v>18</v>
      </c>
      <c r="C1540" s="166">
        <v>1590</v>
      </c>
      <c r="D1540" s="166">
        <v>100</v>
      </c>
      <c r="E1540" s="166" t="s">
        <v>1107</v>
      </c>
      <c r="F1540" s="166">
        <v>769.37262842144253</v>
      </c>
    </row>
    <row r="1541" spans="1:6">
      <c r="A1541" s="403">
        <v>3067</v>
      </c>
      <c r="B1541" s="403">
        <v>18</v>
      </c>
      <c r="C1541" s="166">
        <v>1590</v>
      </c>
      <c r="D1541" s="166">
        <v>100</v>
      </c>
      <c r="E1541" s="166" t="s">
        <v>1107</v>
      </c>
      <c r="F1541" s="166">
        <v>769.37262842144253</v>
      </c>
    </row>
    <row r="1542" spans="1:6">
      <c r="A1542" s="403">
        <v>3068</v>
      </c>
      <c r="B1542" s="403">
        <v>18</v>
      </c>
      <c r="C1542" s="166">
        <v>1590</v>
      </c>
      <c r="D1542" s="166">
        <v>100</v>
      </c>
      <c r="E1542" s="166" t="s">
        <v>1107</v>
      </c>
      <c r="F1542" s="166">
        <v>769.37262842144253</v>
      </c>
    </row>
    <row r="1543" spans="1:6">
      <c r="A1543" s="403">
        <v>3070</v>
      </c>
      <c r="B1543" s="403">
        <v>18</v>
      </c>
      <c r="C1543" s="166">
        <v>1590</v>
      </c>
      <c r="D1543" s="166">
        <v>100</v>
      </c>
      <c r="E1543" s="166" t="s">
        <v>1107</v>
      </c>
      <c r="F1543" s="166">
        <v>769.37262842144253</v>
      </c>
    </row>
    <row r="1544" spans="1:6">
      <c r="A1544" s="403">
        <v>3071</v>
      </c>
      <c r="B1544" s="403">
        <v>18</v>
      </c>
      <c r="C1544" s="166">
        <v>1590</v>
      </c>
      <c r="D1544" s="166">
        <v>100</v>
      </c>
      <c r="E1544" s="166" t="s">
        <v>1107</v>
      </c>
      <c r="F1544" s="166">
        <v>769.37262842144253</v>
      </c>
    </row>
    <row r="1545" spans="1:6">
      <c r="A1545" s="403">
        <v>3072</v>
      </c>
      <c r="B1545" s="403">
        <v>18</v>
      </c>
      <c r="C1545" s="166">
        <v>1590</v>
      </c>
      <c r="D1545" s="166">
        <v>100</v>
      </c>
      <c r="E1545" s="166" t="s">
        <v>1107</v>
      </c>
      <c r="F1545" s="166">
        <v>769.37262842144253</v>
      </c>
    </row>
    <row r="1546" spans="1:6">
      <c r="A1546" s="403">
        <v>3073</v>
      </c>
      <c r="B1546" s="403">
        <v>18</v>
      </c>
      <c r="C1546" s="166">
        <v>1590</v>
      </c>
      <c r="D1546" s="166">
        <v>100</v>
      </c>
      <c r="E1546" s="166" t="s">
        <v>1107</v>
      </c>
      <c r="F1546" s="166">
        <v>769.37262842144253</v>
      </c>
    </row>
    <row r="1547" spans="1:6">
      <c r="A1547" s="403">
        <v>3074</v>
      </c>
      <c r="B1547" s="403">
        <v>18</v>
      </c>
      <c r="C1547" s="166">
        <v>1590</v>
      </c>
      <c r="D1547" s="166">
        <v>100</v>
      </c>
      <c r="E1547" s="166" t="s">
        <v>1107</v>
      </c>
      <c r="F1547" s="166">
        <v>769.37262842144253</v>
      </c>
    </row>
    <row r="1548" spans="1:6">
      <c r="A1548" s="403">
        <v>3075</v>
      </c>
      <c r="B1548" s="403">
        <v>18</v>
      </c>
      <c r="C1548" s="166">
        <v>1590</v>
      </c>
      <c r="D1548" s="166">
        <v>100</v>
      </c>
      <c r="E1548" s="166" t="s">
        <v>1107</v>
      </c>
      <c r="F1548" s="166">
        <v>769.37262842144253</v>
      </c>
    </row>
    <row r="1549" spans="1:6">
      <c r="A1549" s="403">
        <v>3076</v>
      </c>
      <c r="B1549" s="403">
        <v>18</v>
      </c>
      <c r="C1549" s="166">
        <v>1590</v>
      </c>
      <c r="D1549" s="166">
        <v>100</v>
      </c>
      <c r="E1549" s="166" t="s">
        <v>1107</v>
      </c>
      <c r="F1549" s="166">
        <v>769.37262842144253</v>
      </c>
    </row>
    <row r="1550" spans="1:6">
      <c r="A1550" s="403">
        <v>3078</v>
      </c>
      <c r="B1550" s="403">
        <v>18</v>
      </c>
      <c r="C1550" s="166">
        <v>1590</v>
      </c>
      <c r="D1550" s="166">
        <v>100</v>
      </c>
      <c r="E1550" s="166" t="s">
        <v>1107</v>
      </c>
      <c r="F1550" s="166">
        <v>769.37262842144253</v>
      </c>
    </row>
    <row r="1551" spans="1:6">
      <c r="A1551" s="403">
        <v>3079</v>
      </c>
      <c r="B1551" s="403">
        <v>18</v>
      </c>
      <c r="C1551" s="166">
        <v>1590</v>
      </c>
      <c r="D1551" s="166">
        <v>100</v>
      </c>
      <c r="E1551" s="166" t="s">
        <v>1107</v>
      </c>
      <c r="F1551" s="166">
        <v>769.37262842144253</v>
      </c>
    </row>
    <row r="1552" spans="1:6">
      <c r="A1552" s="403">
        <v>3081</v>
      </c>
      <c r="B1552" s="403">
        <v>18</v>
      </c>
      <c r="C1552" s="166">
        <v>1590</v>
      </c>
      <c r="D1552" s="166">
        <v>100</v>
      </c>
      <c r="E1552" s="166" t="s">
        <v>1107</v>
      </c>
      <c r="F1552" s="166">
        <v>769.37262842144253</v>
      </c>
    </row>
    <row r="1553" spans="1:6">
      <c r="A1553" s="403">
        <v>3082</v>
      </c>
      <c r="B1553" s="403">
        <v>18</v>
      </c>
      <c r="C1553" s="166">
        <v>1590</v>
      </c>
      <c r="D1553" s="166">
        <v>100</v>
      </c>
      <c r="E1553" s="166" t="s">
        <v>1107</v>
      </c>
      <c r="F1553" s="166">
        <v>769.37262842144253</v>
      </c>
    </row>
    <row r="1554" spans="1:6">
      <c r="A1554" s="403">
        <v>3083</v>
      </c>
      <c r="B1554" s="403">
        <v>18</v>
      </c>
      <c r="C1554" s="166">
        <v>1590</v>
      </c>
      <c r="D1554" s="166">
        <v>100</v>
      </c>
      <c r="E1554" s="166" t="s">
        <v>1107</v>
      </c>
      <c r="F1554" s="166">
        <v>769.37262842144253</v>
      </c>
    </row>
    <row r="1555" spans="1:6">
      <c r="A1555" s="403">
        <v>3084</v>
      </c>
      <c r="B1555" s="403">
        <v>18</v>
      </c>
      <c r="C1555" s="166">
        <v>1590</v>
      </c>
      <c r="D1555" s="166">
        <v>100</v>
      </c>
      <c r="E1555" s="166" t="s">
        <v>1107</v>
      </c>
      <c r="F1555" s="166">
        <v>769.37262842144253</v>
      </c>
    </row>
    <row r="1556" spans="1:6">
      <c r="A1556" s="403">
        <v>3085</v>
      </c>
      <c r="B1556" s="403">
        <v>18</v>
      </c>
      <c r="C1556" s="166">
        <v>1590</v>
      </c>
      <c r="D1556" s="166">
        <v>100</v>
      </c>
      <c r="E1556" s="166" t="s">
        <v>1107</v>
      </c>
      <c r="F1556" s="166">
        <v>769.37262842144253</v>
      </c>
    </row>
    <row r="1557" spans="1:6">
      <c r="A1557" s="403">
        <v>3086</v>
      </c>
      <c r="B1557" s="403">
        <v>18</v>
      </c>
      <c r="C1557" s="166">
        <v>1590</v>
      </c>
      <c r="D1557" s="166">
        <v>100</v>
      </c>
      <c r="E1557" s="166" t="s">
        <v>1107</v>
      </c>
      <c r="F1557" s="166">
        <v>769.37262842144253</v>
      </c>
    </row>
    <row r="1558" spans="1:6">
      <c r="A1558" s="403">
        <v>3087</v>
      </c>
      <c r="B1558" s="403">
        <v>18</v>
      </c>
      <c r="C1558" s="166">
        <v>1590</v>
      </c>
      <c r="D1558" s="166">
        <v>100</v>
      </c>
      <c r="E1558" s="166" t="s">
        <v>1107</v>
      </c>
      <c r="F1558" s="166">
        <v>769.37262842144253</v>
      </c>
    </row>
    <row r="1559" spans="1:6">
      <c r="A1559" s="403">
        <v>3088</v>
      </c>
      <c r="B1559" s="403">
        <v>18</v>
      </c>
      <c r="C1559" s="166">
        <v>1590</v>
      </c>
      <c r="D1559" s="166">
        <v>100</v>
      </c>
      <c r="E1559" s="166" t="s">
        <v>1107</v>
      </c>
      <c r="F1559" s="166">
        <v>769.37262842144253</v>
      </c>
    </row>
    <row r="1560" spans="1:6">
      <c r="A1560" s="403">
        <v>3089</v>
      </c>
      <c r="B1560" s="403">
        <v>18</v>
      </c>
      <c r="C1560" s="166">
        <v>1590</v>
      </c>
      <c r="D1560" s="166">
        <v>100</v>
      </c>
      <c r="E1560" s="166" t="s">
        <v>1107</v>
      </c>
      <c r="F1560" s="166">
        <v>769.37262842144253</v>
      </c>
    </row>
    <row r="1561" spans="1:6">
      <c r="A1561" s="403">
        <v>3090</v>
      </c>
      <c r="B1561" s="403">
        <v>18</v>
      </c>
      <c r="C1561" s="166">
        <v>1590</v>
      </c>
      <c r="D1561" s="166">
        <v>100</v>
      </c>
      <c r="E1561" s="166" t="s">
        <v>1107</v>
      </c>
      <c r="F1561" s="166">
        <v>769.37262842144253</v>
      </c>
    </row>
    <row r="1562" spans="1:6">
      <c r="A1562" s="403">
        <v>3091</v>
      </c>
      <c r="B1562" s="403">
        <v>18</v>
      </c>
      <c r="C1562" s="166">
        <v>1590</v>
      </c>
      <c r="D1562" s="166">
        <v>100</v>
      </c>
      <c r="E1562" s="166" t="s">
        <v>1107</v>
      </c>
      <c r="F1562" s="166">
        <v>769.37262842144253</v>
      </c>
    </row>
    <row r="1563" spans="1:6">
      <c r="A1563" s="403">
        <v>3093</v>
      </c>
      <c r="B1563" s="403">
        <v>18</v>
      </c>
      <c r="C1563" s="166">
        <v>1590</v>
      </c>
      <c r="D1563" s="166">
        <v>100</v>
      </c>
      <c r="E1563" s="166" t="s">
        <v>1107</v>
      </c>
      <c r="F1563" s="166">
        <v>769.37262842144253</v>
      </c>
    </row>
    <row r="1564" spans="1:6">
      <c r="A1564" s="403">
        <v>3094</v>
      </c>
      <c r="B1564" s="403">
        <v>18</v>
      </c>
      <c r="C1564" s="166">
        <v>1590</v>
      </c>
      <c r="D1564" s="166">
        <v>100</v>
      </c>
      <c r="E1564" s="166" t="s">
        <v>1107</v>
      </c>
      <c r="F1564" s="166">
        <v>769.37262842144253</v>
      </c>
    </row>
    <row r="1565" spans="1:6">
      <c r="A1565" s="403">
        <v>3095</v>
      </c>
      <c r="B1565" s="403">
        <v>18</v>
      </c>
      <c r="C1565" s="166">
        <v>1590</v>
      </c>
      <c r="D1565" s="166">
        <v>100</v>
      </c>
      <c r="E1565" s="166" t="s">
        <v>1107</v>
      </c>
      <c r="F1565" s="166">
        <v>769.37262842144253</v>
      </c>
    </row>
    <row r="1566" spans="1:6">
      <c r="A1566" s="403">
        <v>3096</v>
      </c>
      <c r="B1566" s="403">
        <v>18</v>
      </c>
      <c r="C1566" s="166">
        <v>1590</v>
      </c>
      <c r="D1566" s="166">
        <v>100</v>
      </c>
      <c r="E1566" s="166" t="s">
        <v>1107</v>
      </c>
      <c r="F1566" s="166">
        <v>769.37262842144253</v>
      </c>
    </row>
    <row r="1567" spans="1:6">
      <c r="A1567" s="403">
        <v>3097</v>
      </c>
      <c r="B1567" s="403">
        <v>18</v>
      </c>
      <c r="C1567" s="166">
        <v>1590</v>
      </c>
      <c r="D1567" s="166">
        <v>100</v>
      </c>
      <c r="E1567" s="166" t="s">
        <v>1107</v>
      </c>
      <c r="F1567" s="166">
        <v>769.37262842144253</v>
      </c>
    </row>
    <row r="1568" spans="1:6">
      <c r="A1568" s="403">
        <v>3099</v>
      </c>
      <c r="B1568" s="403">
        <v>18</v>
      </c>
      <c r="C1568" s="166">
        <v>1590</v>
      </c>
      <c r="D1568" s="166">
        <v>100</v>
      </c>
      <c r="E1568" s="166" t="s">
        <v>1107</v>
      </c>
      <c r="F1568" s="166">
        <v>769.37262842144253</v>
      </c>
    </row>
    <row r="1569" spans="1:6">
      <c r="A1569" s="403">
        <v>3101</v>
      </c>
      <c r="B1569" s="403">
        <v>18</v>
      </c>
      <c r="C1569" s="166">
        <v>1590</v>
      </c>
      <c r="D1569" s="166">
        <v>100</v>
      </c>
      <c r="E1569" s="166" t="s">
        <v>1107</v>
      </c>
      <c r="F1569" s="166">
        <v>769.37262842144253</v>
      </c>
    </row>
    <row r="1570" spans="1:6">
      <c r="A1570" s="403">
        <v>3102</v>
      </c>
      <c r="B1570" s="403">
        <v>18</v>
      </c>
      <c r="C1570" s="166">
        <v>1590</v>
      </c>
      <c r="D1570" s="166">
        <v>100</v>
      </c>
      <c r="E1570" s="166" t="s">
        <v>1107</v>
      </c>
      <c r="F1570" s="166">
        <v>769.37262842144253</v>
      </c>
    </row>
    <row r="1571" spans="1:6">
      <c r="A1571" s="403">
        <v>3103</v>
      </c>
      <c r="B1571" s="403">
        <v>18</v>
      </c>
      <c r="C1571" s="166">
        <v>1590</v>
      </c>
      <c r="D1571" s="166">
        <v>100</v>
      </c>
      <c r="E1571" s="166" t="s">
        <v>1107</v>
      </c>
      <c r="F1571" s="166">
        <v>769.37262842144253</v>
      </c>
    </row>
    <row r="1572" spans="1:6">
      <c r="A1572" s="403">
        <v>3104</v>
      </c>
      <c r="B1572" s="403">
        <v>18</v>
      </c>
      <c r="C1572" s="166">
        <v>1590</v>
      </c>
      <c r="D1572" s="166">
        <v>100</v>
      </c>
      <c r="E1572" s="166" t="s">
        <v>1107</v>
      </c>
      <c r="F1572" s="166">
        <v>769.37262842144253</v>
      </c>
    </row>
    <row r="1573" spans="1:6">
      <c r="A1573" s="403">
        <v>3105</v>
      </c>
      <c r="B1573" s="403">
        <v>18</v>
      </c>
      <c r="C1573" s="166">
        <v>1590</v>
      </c>
      <c r="D1573" s="166">
        <v>100</v>
      </c>
      <c r="E1573" s="166" t="s">
        <v>1107</v>
      </c>
      <c r="F1573" s="166">
        <v>769.37262842144253</v>
      </c>
    </row>
    <row r="1574" spans="1:6">
      <c r="A1574" s="403">
        <v>3106</v>
      </c>
      <c r="B1574" s="403">
        <v>18</v>
      </c>
      <c r="C1574" s="166">
        <v>1590</v>
      </c>
      <c r="D1574" s="166">
        <v>100</v>
      </c>
      <c r="E1574" s="166" t="s">
        <v>1107</v>
      </c>
      <c r="F1574" s="166">
        <v>769.37262842144253</v>
      </c>
    </row>
    <row r="1575" spans="1:6">
      <c r="A1575" s="403">
        <v>3107</v>
      </c>
      <c r="B1575" s="403">
        <v>18</v>
      </c>
      <c r="C1575" s="166">
        <v>1590</v>
      </c>
      <c r="D1575" s="166">
        <v>100</v>
      </c>
      <c r="E1575" s="166" t="s">
        <v>1107</v>
      </c>
      <c r="F1575" s="166">
        <v>769.37262842144253</v>
      </c>
    </row>
    <row r="1576" spans="1:6">
      <c r="A1576" s="403">
        <v>3108</v>
      </c>
      <c r="B1576" s="403">
        <v>18</v>
      </c>
      <c r="C1576" s="166">
        <v>1590</v>
      </c>
      <c r="D1576" s="166">
        <v>100</v>
      </c>
      <c r="E1576" s="166" t="s">
        <v>1107</v>
      </c>
      <c r="F1576" s="166">
        <v>769.37262842144253</v>
      </c>
    </row>
    <row r="1577" spans="1:6">
      <c r="A1577" s="403">
        <v>3109</v>
      </c>
      <c r="B1577" s="403">
        <v>18</v>
      </c>
      <c r="C1577" s="166">
        <v>1590</v>
      </c>
      <c r="D1577" s="166">
        <v>100</v>
      </c>
      <c r="E1577" s="166" t="s">
        <v>1107</v>
      </c>
      <c r="F1577" s="166">
        <v>769.37262842144253</v>
      </c>
    </row>
    <row r="1578" spans="1:6">
      <c r="A1578" s="403">
        <v>3110</v>
      </c>
      <c r="B1578" s="403">
        <v>18</v>
      </c>
      <c r="C1578" s="166">
        <v>1590</v>
      </c>
      <c r="D1578" s="166">
        <v>100</v>
      </c>
      <c r="E1578" s="166" t="s">
        <v>1107</v>
      </c>
      <c r="F1578" s="166">
        <v>769.37262842144253</v>
      </c>
    </row>
    <row r="1579" spans="1:6">
      <c r="A1579" s="403">
        <v>3111</v>
      </c>
      <c r="B1579" s="403">
        <v>18</v>
      </c>
      <c r="C1579" s="166">
        <v>1590</v>
      </c>
      <c r="D1579" s="166">
        <v>100</v>
      </c>
      <c r="E1579" s="166" t="s">
        <v>1107</v>
      </c>
      <c r="F1579" s="166">
        <v>769.37262842144253</v>
      </c>
    </row>
    <row r="1580" spans="1:6">
      <c r="A1580" s="403">
        <v>3113</v>
      </c>
      <c r="B1580" s="403">
        <v>18</v>
      </c>
      <c r="C1580" s="166">
        <v>1590</v>
      </c>
      <c r="D1580" s="166">
        <v>100</v>
      </c>
      <c r="E1580" s="166" t="s">
        <v>1107</v>
      </c>
      <c r="F1580" s="166">
        <v>769.37262842144253</v>
      </c>
    </row>
    <row r="1581" spans="1:6">
      <c r="A1581" s="403">
        <v>3114</v>
      </c>
      <c r="B1581" s="403">
        <v>18</v>
      </c>
      <c r="C1581" s="166">
        <v>1590</v>
      </c>
      <c r="D1581" s="166">
        <v>100</v>
      </c>
      <c r="E1581" s="166" t="s">
        <v>1107</v>
      </c>
      <c r="F1581" s="166">
        <v>769.37262842144253</v>
      </c>
    </row>
    <row r="1582" spans="1:6">
      <c r="A1582" s="403">
        <v>3115</v>
      </c>
      <c r="B1582" s="403">
        <v>18</v>
      </c>
      <c r="C1582" s="166">
        <v>1590</v>
      </c>
      <c r="D1582" s="166">
        <v>100</v>
      </c>
      <c r="E1582" s="166" t="s">
        <v>1107</v>
      </c>
      <c r="F1582" s="166">
        <v>769.37262842144253</v>
      </c>
    </row>
    <row r="1583" spans="1:6">
      <c r="A1583" s="403">
        <v>3116</v>
      </c>
      <c r="B1583" s="403">
        <v>18</v>
      </c>
      <c r="C1583" s="166">
        <v>1590</v>
      </c>
      <c r="D1583" s="166">
        <v>100</v>
      </c>
      <c r="E1583" s="166" t="s">
        <v>1107</v>
      </c>
      <c r="F1583" s="166">
        <v>769.37262842144253</v>
      </c>
    </row>
    <row r="1584" spans="1:6">
      <c r="A1584" s="403">
        <v>3121</v>
      </c>
      <c r="B1584" s="403">
        <v>18</v>
      </c>
      <c r="C1584" s="166">
        <v>1590</v>
      </c>
      <c r="D1584" s="166">
        <v>100</v>
      </c>
      <c r="E1584" s="166" t="s">
        <v>1107</v>
      </c>
      <c r="F1584" s="166">
        <v>769.37262842144253</v>
      </c>
    </row>
    <row r="1585" spans="1:6">
      <c r="A1585" s="403">
        <v>3122</v>
      </c>
      <c r="B1585" s="403">
        <v>18</v>
      </c>
      <c r="C1585" s="166">
        <v>1590</v>
      </c>
      <c r="D1585" s="166">
        <v>100</v>
      </c>
      <c r="E1585" s="166" t="s">
        <v>1107</v>
      </c>
      <c r="F1585" s="166">
        <v>769.37262842144253</v>
      </c>
    </row>
    <row r="1586" spans="1:6">
      <c r="A1586" s="403">
        <v>3123</v>
      </c>
      <c r="B1586" s="403">
        <v>18</v>
      </c>
      <c r="C1586" s="166">
        <v>1590</v>
      </c>
      <c r="D1586" s="166">
        <v>100</v>
      </c>
      <c r="E1586" s="166" t="s">
        <v>1107</v>
      </c>
      <c r="F1586" s="166">
        <v>769.37262842144253</v>
      </c>
    </row>
    <row r="1587" spans="1:6">
      <c r="A1587" s="403">
        <v>3124</v>
      </c>
      <c r="B1587" s="403">
        <v>18</v>
      </c>
      <c r="C1587" s="166">
        <v>1590</v>
      </c>
      <c r="D1587" s="166">
        <v>100</v>
      </c>
      <c r="E1587" s="166" t="s">
        <v>1107</v>
      </c>
      <c r="F1587" s="166">
        <v>769.37262842144253</v>
      </c>
    </row>
    <row r="1588" spans="1:6">
      <c r="A1588" s="403">
        <v>3125</v>
      </c>
      <c r="B1588" s="403">
        <v>18</v>
      </c>
      <c r="C1588" s="166">
        <v>1590</v>
      </c>
      <c r="D1588" s="166">
        <v>100</v>
      </c>
      <c r="E1588" s="166" t="s">
        <v>1107</v>
      </c>
      <c r="F1588" s="166">
        <v>769.37262842144253</v>
      </c>
    </row>
    <row r="1589" spans="1:6">
      <c r="A1589" s="403">
        <v>3126</v>
      </c>
      <c r="B1589" s="403">
        <v>18</v>
      </c>
      <c r="C1589" s="166">
        <v>1590</v>
      </c>
      <c r="D1589" s="166">
        <v>100</v>
      </c>
      <c r="E1589" s="166" t="s">
        <v>1107</v>
      </c>
      <c r="F1589" s="166">
        <v>769.37262842144253</v>
      </c>
    </row>
    <row r="1590" spans="1:6">
      <c r="A1590" s="403">
        <v>3127</v>
      </c>
      <c r="B1590" s="403">
        <v>18</v>
      </c>
      <c r="C1590" s="166">
        <v>1590</v>
      </c>
      <c r="D1590" s="166">
        <v>100</v>
      </c>
      <c r="E1590" s="166" t="s">
        <v>1107</v>
      </c>
      <c r="F1590" s="166">
        <v>769.37262842144253</v>
      </c>
    </row>
    <row r="1591" spans="1:6">
      <c r="A1591" s="403">
        <v>3128</v>
      </c>
      <c r="B1591" s="403">
        <v>18</v>
      </c>
      <c r="C1591" s="166">
        <v>1590</v>
      </c>
      <c r="D1591" s="166">
        <v>100</v>
      </c>
      <c r="E1591" s="166" t="s">
        <v>1107</v>
      </c>
      <c r="F1591" s="166">
        <v>769.37262842144253</v>
      </c>
    </row>
    <row r="1592" spans="1:6">
      <c r="A1592" s="403">
        <v>3129</v>
      </c>
      <c r="B1592" s="403">
        <v>18</v>
      </c>
      <c r="C1592" s="166">
        <v>1590</v>
      </c>
      <c r="D1592" s="166">
        <v>100</v>
      </c>
      <c r="E1592" s="166" t="s">
        <v>1107</v>
      </c>
      <c r="F1592" s="166">
        <v>769.37262842144253</v>
      </c>
    </row>
    <row r="1593" spans="1:6">
      <c r="A1593" s="403">
        <v>3130</v>
      </c>
      <c r="B1593" s="403">
        <v>18</v>
      </c>
      <c r="C1593" s="166">
        <v>1590</v>
      </c>
      <c r="D1593" s="166">
        <v>100</v>
      </c>
      <c r="E1593" s="166" t="s">
        <v>1107</v>
      </c>
      <c r="F1593" s="166">
        <v>769.37262842144253</v>
      </c>
    </row>
    <row r="1594" spans="1:6">
      <c r="A1594" s="403">
        <v>3131</v>
      </c>
      <c r="B1594" s="403">
        <v>18</v>
      </c>
      <c r="C1594" s="166">
        <v>1590</v>
      </c>
      <c r="D1594" s="166">
        <v>100</v>
      </c>
      <c r="E1594" s="166" t="s">
        <v>1107</v>
      </c>
      <c r="F1594" s="166">
        <v>769.37262842144253</v>
      </c>
    </row>
    <row r="1595" spans="1:6">
      <c r="A1595" s="403">
        <v>3132</v>
      </c>
      <c r="B1595" s="403">
        <v>18</v>
      </c>
      <c r="C1595" s="166">
        <v>1590</v>
      </c>
      <c r="D1595" s="166">
        <v>100</v>
      </c>
      <c r="E1595" s="166" t="s">
        <v>1107</v>
      </c>
      <c r="F1595" s="166">
        <v>769.37262842144253</v>
      </c>
    </row>
    <row r="1596" spans="1:6">
      <c r="A1596" s="403">
        <v>3133</v>
      </c>
      <c r="B1596" s="403">
        <v>18</v>
      </c>
      <c r="C1596" s="166">
        <v>1590</v>
      </c>
      <c r="D1596" s="166">
        <v>100</v>
      </c>
      <c r="E1596" s="166" t="s">
        <v>1107</v>
      </c>
      <c r="F1596" s="166">
        <v>769.37262842144253</v>
      </c>
    </row>
    <row r="1597" spans="1:6">
      <c r="A1597" s="403">
        <v>3134</v>
      </c>
      <c r="B1597" s="403">
        <v>18</v>
      </c>
      <c r="C1597" s="166">
        <v>1590</v>
      </c>
      <c r="D1597" s="166">
        <v>100</v>
      </c>
      <c r="E1597" s="166" t="s">
        <v>1107</v>
      </c>
      <c r="F1597" s="166">
        <v>769.37262842144253</v>
      </c>
    </row>
    <row r="1598" spans="1:6">
      <c r="A1598" s="403">
        <v>3135</v>
      </c>
      <c r="B1598" s="403">
        <v>18</v>
      </c>
      <c r="C1598" s="166">
        <v>1590</v>
      </c>
      <c r="D1598" s="166">
        <v>100</v>
      </c>
      <c r="E1598" s="166" t="s">
        <v>1107</v>
      </c>
      <c r="F1598" s="166">
        <v>769.37262842144253</v>
      </c>
    </row>
    <row r="1599" spans="1:6">
      <c r="A1599" s="403">
        <v>3136</v>
      </c>
      <c r="B1599" s="403">
        <v>18</v>
      </c>
      <c r="C1599" s="166">
        <v>1590</v>
      </c>
      <c r="D1599" s="166">
        <v>100</v>
      </c>
      <c r="E1599" s="166" t="s">
        <v>1107</v>
      </c>
      <c r="F1599" s="166">
        <v>769.37262842144253</v>
      </c>
    </row>
    <row r="1600" spans="1:6">
      <c r="A1600" s="403">
        <v>3137</v>
      </c>
      <c r="B1600" s="403">
        <v>18</v>
      </c>
      <c r="C1600" s="166">
        <v>1590</v>
      </c>
      <c r="D1600" s="166">
        <v>100</v>
      </c>
      <c r="E1600" s="166" t="s">
        <v>1107</v>
      </c>
      <c r="F1600" s="166">
        <v>769.37262842144253</v>
      </c>
    </row>
    <row r="1601" spans="1:6">
      <c r="A1601" s="403">
        <v>3138</v>
      </c>
      <c r="B1601" s="403">
        <v>18</v>
      </c>
      <c r="C1601" s="166">
        <v>1590</v>
      </c>
      <c r="D1601" s="166">
        <v>100</v>
      </c>
      <c r="E1601" s="166" t="s">
        <v>1107</v>
      </c>
      <c r="F1601" s="166">
        <v>769.37262842144253</v>
      </c>
    </row>
    <row r="1602" spans="1:6">
      <c r="A1602" s="403">
        <v>3139</v>
      </c>
      <c r="B1602" s="403">
        <v>18</v>
      </c>
      <c r="C1602" s="166">
        <v>1590</v>
      </c>
      <c r="D1602" s="166">
        <v>100</v>
      </c>
      <c r="E1602" s="166" t="s">
        <v>1107</v>
      </c>
      <c r="F1602" s="166">
        <v>769.37262842144253</v>
      </c>
    </row>
    <row r="1603" spans="1:6">
      <c r="A1603" s="403">
        <v>3140</v>
      </c>
      <c r="B1603" s="403">
        <v>18</v>
      </c>
      <c r="C1603" s="166">
        <v>1590</v>
      </c>
      <c r="D1603" s="166">
        <v>100</v>
      </c>
      <c r="E1603" s="166" t="s">
        <v>1107</v>
      </c>
      <c r="F1603" s="166">
        <v>769.37262842144253</v>
      </c>
    </row>
    <row r="1604" spans="1:6">
      <c r="A1604" s="403">
        <v>3141</v>
      </c>
      <c r="B1604" s="403">
        <v>18</v>
      </c>
      <c r="C1604" s="166">
        <v>1590</v>
      </c>
      <c r="D1604" s="166">
        <v>100</v>
      </c>
      <c r="E1604" s="166" t="s">
        <v>1107</v>
      </c>
      <c r="F1604" s="166">
        <v>769.37262842144253</v>
      </c>
    </row>
    <row r="1605" spans="1:6">
      <c r="A1605" s="403">
        <v>3142</v>
      </c>
      <c r="B1605" s="403">
        <v>18</v>
      </c>
      <c r="C1605" s="166">
        <v>1590</v>
      </c>
      <c r="D1605" s="166">
        <v>100</v>
      </c>
      <c r="E1605" s="166" t="s">
        <v>1107</v>
      </c>
      <c r="F1605" s="166">
        <v>769.37262842144253</v>
      </c>
    </row>
    <row r="1606" spans="1:6">
      <c r="A1606" s="403">
        <v>3143</v>
      </c>
      <c r="B1606" s="403">
        <v>18</v>
      </c>
      <c r="C1606" s="166">
        <v>1590</v>
      </c>
      <c r="D1606" s="166">
        <v>100</v>
      </c>
      <c r="E1606" s="166" t="s">
        <v>1107</v>
      </c>
      <c r="F1606" s="166">
        <v>769.37262842144253</v>
      </c>
    </row>
    <row r="1607" spans="1:6">
      <c r="A1607" s="403">
        <v>3144</v>
      </c>
      <c r="B1607" s="403">
        <v>18</v>
      </c>
      <c r="C1607" s="166">
        <v>1590</v>
      </c>
      <c r="D1607" s="166">
        <v>100</v>
      </c>
      <c r="E1607" s="166" t="s">
        <v>1107</v>
      </c>
      <c r="F1607" s="166">
        <v>769.37262842144253</v>
      </c>
    </row>
    <row r="1608" spans="1:6">
      <c r="A1608" s="403">
        <v>3145</v>
      </c>
      <c r="B1608" s="403">
        <v>18</v>
      </c>
      <c r="C1608" s="166">
        <v>1590</v>
      </c>
      <c r="D1608" s="166">
        <v>100</v>
      </c>
      <c r="E1608" s="166" t="s">
        <v>1107</v>
      </c>
      <c r="F1608" s="166">
        <v>769.37262842144253</v>
      </c>
    </row>
    <row r="1609" spans="1:6">
      <c r="A1609" s="403">
        <v>3146</v>
      </c>
      <c r="B1609" s="403">
        <v>18</v>
      </c>
      <c r="C1609" s="166">
        <v>1590</v>
      </c>
      <c r="D1609" s="166">
        <v>100</v>
      </c>
      <c r="E1609" s="166" t="s">
        <v>1107</v>
      </c>
      <c r="F1609" s="166">
        <v>769.37262842144253</v>
      </c>
    </row>
    <row r="1610" spans="1:6">
      <c r="A1610" s="403">
        <v>3147</v>
      </c>
      <c r="B1610" s="403">
        <v>18</v>
      </c>
      <c r="C1610" s="166">
        <v>1590</v>
      </c>
      <c r="D1610" s="166">
        <v>100</v>
      </c>
      <c r="E1610" s="166" t="s">
        <v>1107</v>
      </c>
      <c r="F1610" s="166">
        <v>769.37262842144253</v>
      </c>
    </row>
    <row r="1611" spans="1:6">
      <c r="A1611" s="403">
        <v>3148</v>
      </c>
      <c r="B1611" s="403">
        <v>18</v>
      </c>
      <c r="C1611" s="166">
        <v>1590</v>
      </c>
      <c r="D1611" s="166">
        <v>100</v>
      </c>
      <c r="E1611" s="166" t="s">
        <v>1107</v>
      </c>
      <c r="F1611" s="166">
        <v>769.37262842144253</v>
      </c>
    </row>
    <row r="1612" spans="1:6">
      <c r="A1612" s="403">
        <v>3149</v>
      </c>
      <c r="B1612" s="403">
        <v>18</v>
      </c>
      <c r="C1612" s="166">
        <v>1590</v>
      </c>
      <c r="D1612" s="166">
        <v>100</v>
      </c>
      <c r="E1612" s="166" t="s">
        <v>1107</v>
      </c>
      <c r="F1612" s="166">
        <v>769.37262842144253</v>
      </c>
    </row>
    <row r="1613" spans="1:6">
      <c r="A1613" s="403">
        <v>3150</v>
      </c>
      <c r="B1613" s="403">
        <v>18</v>
      </c>
      <c r="C1613" s="166">
        <v>1590</v>
      </c>
      <c r="D1613" s="166">
        <v>100</v>
      </c>
      <c r="E1613" s="166" t="s">
        <v>1107</v>
      </c>
      <c r="F1613" s="166">
        <v>769.37262842144253</v>
      </c>
    </row>
    <row r="1614" spans="1:6">
      <c r="A1614" s="403">
        <v>3151</v>
      </c>
      <c r="B1614" s="403">
        <v>18</v>
      </c>
      <c r="C1614" s="166">
        <v>1590</v>
      </c>
      <c r="D1614" s="166">
        <v>100</v>
      </c>
      <c r="E1614" s="166" t="s">
        <v>1107</v>
      </c>
      <c r="F1614" s="166">
        <v>769.37262842144253</v>
      </c>
    </row>
    <row r="1615" spans="1:6">
      <c r="A1615" s="403">
        <v>3152</v>
      </c>
      <c r="B1615" s="403">
        <v>18</v>
      </c>
      <c r="C1615" s="166">
        <v>1590</v>
      </c>
      <c r="D1615" s="166">
        <v>100</v>
      </c>
      <c r="E1615" s="166" t="s">
        <v>1107</v>
      </c>
      <c r="F1615" s="166">
        <v>769.37262842144253</v>
      </c>
    </row>
    <row r="1616" spans="1:6">
      <c r="A1616" s="403">
        <v>3153</v>
      </c>
      <c r="B1616" s="403">
        <v>18</v>
      </c>
      <c r="C1616" s="166">
        <v>1590</v>
      </c>
      <c r="D1616" s="166">
        <v>100</v>
      </c>
      <c r="E1616" s="166" t="s">
        <v>1107</v>
      </c>
      <c r="F1616" s="166">
        <v>769.37262842144253</v>
      </c>
    </row>
    <row r="1617" spans="1:6">
      <c r="A1617" s="403">
        <v>3154</v>
      </c>
      <c r="B1617" s="403">
        <v>18</v>
      </c>
      <c r="C1617" s="166">
        <v>1590</v>
      </c>
      <c r="D1617" s="166">
        <v>100</v>
      </c>
      <c r="E1617" s="166" t="s">
        <v>1107</v>
      </c>
      <c r="F1617" s="166">
        <v>769.37262842144253</v>
      </c>
    </row>
    <row r="1618" spans="1:6">
      <c r="A1618" s="403">
        <v>3155</v>
      </c>
      <c r="B1618" s="403">
        <v>18</v>
      </c>
      <c r="C1618" s="166">
        <v>1590</v>
      </c>
      <c r="D1618" s="166">
        <v>100</v>
      </c>
      <c r="E1618" s="166" t="s">
        <v>1107</v>
      </c>
      <c r="F1618" s="166">
        <v>769.37262842144253</v>
      </c>
    </row>
    <row r="1619" spans="1:6">
      <c r="A1619" s="403">
        <v>3156</v>
      </c>
      <c r="B1619" s="403">
        <v>18</v>
      </c>
      <c r="C1619" s="166">
        <v>1590</v>
      </c>
      <c r="D1619" s="166">
        <v>100</v>
      </c>
      <c r="E1619" s="166" t="s">
        <v>1107</v>
      </c>
      <c r="F1619" s="166">
        <v>769.37262842144253</v>
      </c>
    </row>
    <row r="1620" spans="1:6">
      <c r="A1620" s="403">
        <v>3158</v>
      </c>
      <c r="B1620" s="403">
        <v>18</v>
      </c>
      <c r="C1620" s="166">
        <v>1590</v>
      </c>
      <c r="D1620" s="166">
        <v>100</v>
      </c>
      <c r="E1620" s="166" t="s">
        <v>1107</v>
      </c>
      <c r="F1620" s="166">
        <v>769.37262842144253</v>
      </c>
    </row>
    <row r="1621" spans="1:6">
      <c r="A1621" s="403">
        <v>3159</v>
      </c>
      <c r="B1621" s="403">
        <v>18</v>
      </c>
      <c r="C1621" s="166">
        <v>1590</v>
      </c>
      <c r="D1621" s="166">
        <v>100</v>
      </c>
      <c r="E1621" s="166" t="s">
        <v>1107</v>
      </c>
      <c r="F1621" s="166">
        <v>769.37262842144253</v>
      </c>
    </row>
    <row r="1622" spans="1:6">
      <c r="A1622" s="403">
        <v>3160</v>
      </c>
      <c r="B1622" s="403">
        <v>18</v>
      </c>
      <c r="C1622" s="166">
        <v>1590</v>
      </c>
      <c r="D1622" s="166">
        <v>100</v>
      </c>
      <c r="E1622" s="166" t="s">
        <v>1107</v>
      </c>
      <c r="F1622" s="166">
        <v>769.37262842144253</v>
      </c>
    </row>
    <row r="1623" spans="1:6">
      <c r="A1623" s="403">
        <v>3161</v>
      </c>
      <c r="B1623" s="403">
        <v>18</v>
      </c>
      <c r="C1623" s="166">
        <v>1590</v>
      </c>
      <c r="D1623" s="166">
        <v>100</v>
      </c>
      <c r="E1623" s="166" t="s">
        <v>1107</v>
      </c>
      <c r="F1623" s="166">
        <v>769.37262842144253</v>
      </c>
    </row>
    <row r="1624" spans="1:6">
      <c r="A1624" s="403">
        <v>3162</v>
      </c>
      <c r="B1624" s="403">
        <v>18</v>
      </c>
      <c r="C1624" s="166">
        <v>1590</v>
      </c>
      <c r="D1624" s="166">
        <v>100</v>
      </c>
      <c r="E1624" s="166" t="s">
        <v>1107</v>
      </c>
      <c r="F1624" s="166">
        <v>769.37262842144253</v>
      </c>
    </row>
    <row r="1625" spans="1:6">
      <c r="A1625" s="403">
        <v>3163</v>
      </c>
      <c r="B1625" s="403">
        <v>18</v>
      </c>
      <c r="C1625" s="166">
        <v>1590</v>
      </c>
      <c r="D1625" s="166">
        <v>100</v>
      </c>
      <c r="E1625" s="166" t="s">
        <v>1107</v>
      </c>
      <c r="F1625" s="166">
        <v>769.37262842144253</v>
      </c>
    </row>
    <row r="1626" spans="1:6">
      <c r="A1626" s="403">
        <v>3164</v>
      </c>
      <c r="B1626" s="403">
        <v>18</v>
      </c>
      <c r="C1626" s="166">
        <v>1590</v>
      </c>
      <c r="D1626" s="166">
        <v>100</v>
      </c>
      <c r="E1626" s="166" t="s">
        <v>1107</v>
      </c>
      <c r="F1626" s="166">
        <v>769.37262842144253</v>
      </c>
    </row>
    <row r="1627" spans="1:6">
      <c r="A1627" s="403">
        <v>3165</v>
      </c>
      <c r="B1627" s="403">
        <v>18</v>
      </c>
      <c r="C1627" s="166">
        <v>1590</v>
      </c>
      <c r="D1627" s="166">
        <v>100</v>
      </c>
      <c r="E1627" s="166" t="s">
        <v>1107</v>
      </c>
      <c r="F1627" s="166">
        <v>769.37262842144253</v>
      </c>
    </row>
    <row r="1628" spans="1:6">
      <c r="A1628" s="403">
        <v>3166</v>
      </c>
      <c r="B1628" s="403">
        <v>18</v>
      </c>
      <c r="C1628" s="166">
        <v>1590</v>
      </c>
      <c r="D1628" s="166">
        <v>100</v>
      </c>
      <c r="E1628" s="166" t="s">
        <v>1107</v>
      </c>
      <c r="F1628" s="166">
        <v>769.37262842144253</v>
      </c>
    </row>
    <row r="1629" spans="1:6">
      <c r="A1629" s="403">
        <v>3167</v>
      </c>
      <c r="B1629" s="403">
        <v>18</v>
      </c>
      <c r="C1629" s="166">
        <v>1590</v>
      </c>
      <c r="D1629" s="166">
        <v>100</v>
      </c>
      <c r="E1629" s="166" t="s">
        <v>1107</v>
      </c>
      <c r="F1629" s="166">
        <v>769.37262842144253</v>
      </c>
    </row>
    <row r="1630" spans="1:6">
      <c r="A1630" s="403">
        <v>3168</v>
      </c>
      <c r="B1630" s="403">
        <v>18</v>
      </c>
      <c r="C1630" s="166">
        <v>1590</v>
      </c>
      <c r="D1630" s="166">
        <v>100</v>
      </c>
      <c r="E1630" s="166" t="s">
        <v>1107</v>
      </c>
      <c r="F1630" s="166">
        <v>769.37262842144253</v>
      </c>
    </row>
    <row r="1631" spans="1:6">
      <c r="A1631" s="403">
        <v>3169</v>
      </c>
      <c r="B1631" s="403">
        <v>18</v>
      </c>
      <c r="C1631" s="166">
        <v>1590</v>
      </c>
      <c r="D1631" s="166">
        <v>100</v>
      </c>
      <c r="E1631" s="166" t="s">
        <v>1107</v>
      </c>
      <c r="F1631" s="166">
        <v>769.37262842144253</v>
      </c>
    </row>
    <row r="1632" spans="1:6">
      <c r="A1632" s="403">
        <v>3170</v>
      </c>
      <c r="B1632" s="403">
        <v>18</v>
      </c>
      <c r="C1632" s="166">
        <v>1590</v>
      </c>
      <c r="D1632" s="166">
        <v>100</v>
      </c>
      <c r="E1632" s="166" t="s">
        <v>1107</v>
      </c>
      <c r="F1632" s="166">
        <v>769.37262842144253</v>
      </c>
    </row>
    <row r="1633" spans="1:6">
      <c r="A1633" s="403">
        <v>3171</v>
      </c>
      <c r="B1633" s="403">
        <v>18</v>
      </c>
      <c r="C1633" s="166">
        <v>1590</v>
      </c>
      <c r="D1633" s="166">
        <v>100</v>
      </c>
      <c r="E1633" s="166" t="s">
        <v>1107</v>
      </c>
      <c r="F1633" s="166">
        <v>769.37262842144253</v>
      </c>
    </row>
    <row r="1634" spans="1:6">
      <c r="A1634" s="403">
        <v>3172</v>
      </c>
      <c r="B1634" s="403">
        <v>18</v>
      </c>
      <c r="C1634" s="166">
        <v>1590</v>
      </c>
      <c r="D1634" s="166">
        <v>100</v>
      </c>
      <c r="E1634" s="166" t="s">
        <v>1107</v>
      </c>
      <c r="F1634" s="166">
        <v>769.37262842144253</v>
      </c>
    </row>
    <row r="1635" spans="1:6">
      <c r="A1635" s="403">
        <v>3173</v>
      </c>
      <c r="B1635" s="403">
        <v>18</v>
      </c>
      <c r="C1635" s="166">
        <v>1590</v>
      </c>
      <c r="D1635" s="166">
        <v>100</v>
      </c>
      <c r="E1635" s="166" t="s">
        <v>1107</v>
      </c>
      <c r="F1635" s="166">
        <v>769.37262842144253</v>
      </c>
    </row>
    <row r="1636" spans="1:6">
      <c r="A1636" s="403">
        <v>3174</v>
      </c>
      <c r="B1636" s="403">
        <v>18</v>
      </c>
      <c r="C1636" s="166">
        <v>1590</v>
      </c>
      <c r="D1636" s="166">
        <v>100</v>
      </c>
      <c r="E1636" s="166" t="s">
        <v>1107</v>
      </c>
      <c r="F1636" s="166">
        <v>769.37262842144253</v>
      </c>
    </row>
    <row r="1637" spans="1:6">
      <c r="A1637" s="403">
        <v>3175</v>
      </c>
      <c r="B1637" s="403">
        <v>18</v>
      </c>
      <c r="C1637" s="166">
        <v>1590</v>
      </c>
      <c r="D1637" s="166">
        <v>100</v>
      </c>
      <c r="E1637" s="166" t="s">
        <v>1107</v>
      </c>
      <c r="F1637" s="166">
        <v>769.37262842144253</v>
      </c>
    </row>
    <row r="1638" spans="1:6">
      <c r="A1638" s="403">
        <v>3176</v>
      </c>
      <c r="B1638" s="403">
        <v>18</v>
      </c>
      <c r="C1638" s="166">
        <v>1590</v>
      </c>
      <c r="D1638" s="166">
        <v>100</v>
      </c>
      <c r="E1638" s="166" t="s">
        <v>1107</v>
      </c>
      <c r="F1638" s="166">
        <v>769.37262842144253</v>
      </c>
    </row>
    <row r="1639" spans="1:6">
      <c r="A1639" s="403">
        <v>3177</v>
      </c>
      <c r="B1639" s="403">
        <v>18</v>
      </c>
      <c r="C1639" s="166">
        <v>1590</v>
      </c>
      <c r="D1639" s="166">
        <v>100</v>
      </c>
      <c r="E1639" s="166" t="s">
        <v>1107</v>
      </c>
      <c r="F1639" s="166">
        <v>769.37262842144253</v>
      </c>
    </row>
    <row r="1640" spans="1:6">
      <c r="A1640" s="403">
        <v>3178</v>
      </c>
      <c r="B1640" s="403">
        <v>18</v>
      </c>
      <c r="C1640" s="166">
        <v>1590</v>
      </c>
      <c r="D1640" s="166">
        <v>100</v>
      </c>
      <c r="E1640" s="166" t="s">
        <v>1107</v>
      </c>
      <c r="F1640" s="166">
        <v>769.37262842144253</v>
      </c>
    </row>
    <row r="1641" spans="1:6">
      <c r="A1641" s="403">
        <v>3179</v>
      </c>
      <c r="B1641" s="403">
        <v>18</v>
      </c>
      <c r="C1641" s="166">
        <v>1590</v>
      </c>
      <c r="D1641" s="166">
        <v>100</v>
      </c>
      <c r="E1641" s="166" t="s">
        <v>1107</v>
      </c>
      <c r="F1641" s="166">
        <v>769.37262842144253</v>
      </c>
    </row>
    <row r="1642" spans="1:6">
      <c r="A1642" s="403">
        <v>3180</v>
      </c>
      <c r="B1642" s="403">
        <v>18</v>
      </c>
      <c r="C1642" s="166">
        <v>1590</v>
      </c>
      <c r="D1642" s="166">
        <v>100</v>
      </c>
      <c r="E1642" s="166" t="s">
        <v>1107</v>
      </c>
      <c r="F1642" s="166">
        <v>769.37262842144253</v>
      </c>
    </row>
    <row r="1643" spans="1:6">
      <c r="A1643" s="403">
        <v>3181</v>
      </c>
      <c r="B1643" s="403">
        <v>18</v>
      </c>
      <c r="C1643" s="166">
        <v>1590</v>
      </c>
      <c r="D1643" s="166">
        <v>100</v>
      </c>
      <c r="E1643" s="166" t="s">
        <v>1107</v>
      </c>
      <c r="F1643" s="166">
        <v>769.37262842144253</v>
      </c>
    </row>
    <row r="1644" spans="1:6">
      <c r="A1644" s="403">
        <v>3182</v>
      </c>
      <c r="B1644" s="403">
        <v>18</v>
      </c>
      <c r="C1644" s="166">
        <v>1590</v>
      </c>
      <c r="D1644" s="166">
        <v>100</v>
      </c>
      <c r="E1644" s="166" t="s">
        <v>1107</v>
      </c>
      <c r="F1644" s="166">
        <v>769.37262842144253</v>
      </c>
    </row>
    <row r="1645" spans="1:6">
      <c r="A1645" s="403">
        <v>3183</v>
      </c>
      <c r="B1645" s="403">
        <v>18</v>
      </c>
      <c r="C1645" s="166">
        <v>1590</v>
      </c>
      <c r="D1645" s="166">
        <v>100</v>
      </c>
      <c r="E1645" s="166" t="s">
        <v>1107</v>
      </c>
      <c r="F1645" s="166">
        <v>769.37262842144253</v>
      </c>
    </row>
    <row r="1646" spans="1:6">
      <c r="A1646" s="403">
        <v>3184</v>
      </c>
      <c r="B1646" s="403">
        <v>18</v>
      </c>
      <c r="C1646" s="166">
        <v>1590</v>
      </c>
      <c r="D1646" s="166">
        <v>100</v>
      </c>
      <c r="E1646" s="166" t="s">
        <v>1107</v>
      </c>
      <c r="F1646" s="166">
        <v>769.37262842144253</v>
      </c>
    </row>
    <row r="1647" spans="1:6">
      <c r="A1647" s="403">
        <v>3185</v>
      </c>
      <c r="B1647" s="403">
        <v>18</v>
      </c>
      <c r="C1647" s="166">
        <v>1590</v>
      </c>
      <c r="D1647" s="166">
        <v>100</v>
      </c>
      <c r="E1647" s="166" t="s">
        <v>1107</v>
      </c>
      <c r="F1647" s="166">
        <v>769.37262842144253</v>
      </c>
    </row>
    <row r="1648" spans="1:6">
      <c r="A1648" s="403">
        <v>3186</v>
      </c>
      <c r="B1648" s="403">
        <v>18</v>
      </c>
      <c r="C1648" s="166">
        <v>1590</v>
      </c>
      <c r="D1648" s="166">
        <v>100</v>
      </c>
      <c r="E1648" s="166" t="s">
        <v>1107</v>
      </c>
      <c r="F1648" s="166">
        <v>769.37262842144253</v>
      </c>
    </row>
    <row r="1649" spans="1:6">
      <c r="A1649" s="403">
        <v>3187</v>
      </c>
      <c r="B1649" s="403">
        <v>18</v>
      </c>
      <c r="C1649" s="166">
        <v>1590</v>
      </c>
      <c r="D1649" s="166">
        <v>100</v>
      </c>
      <c r="E1649" s="166" t="s">
        <v>1107</v>
      </c>
      <c r="F1649" s="166">
        <v>769.37262842144253</v>
      </c>
    </row>
    <row r="1650" spans="1:6">
      <c r="A1650" s="403">
        <v>3188</v>
      </c>
      <c r="B1650" s="403">
        <v>18</v>
      </c>
      <c r="C1650" s="166">
        <v>1590</v>
      </c>
      <c r="D1650" s="166">
        <v>100</v>
      </c>
      <c r="E1650" s="166" t="s">
        <v>1107</v>
      </c>
      <c r="F1650" s="166">
        <v>769.37262842144253</v>
      </c>
    </row>
    <row r="1651" spans="1:6">
      <c r="A1651" s="403">
        <v>3189</v>
      </c>
      <c r="B1651" s="403">
        <v>18</v>
      </c>
      <c r="C1651" s="166">
        <v>1590</v>
      </c>
      <c r="D1651" s="166">
        <v>100</v>
      </c>
      <c r="E1651" s="166" t="s">
        <v>1107</v>
      </c>
      <c r="F1651" s="166">
        <v>769.37262842144253</v>
      </c>
    </row>
    <row r="1652" spans="1:6">
      <c r="A1652" s="403">
        <v>3190</v>
      </c>
      <c r="B1652" s="403">
        <v>18</v>
      </c>
      <c r="C1652" s="166">
        <v>1590</v>
      </c>
      <c r="D1652" s="166">
        <v>100</v>
      </c>
      <c r="E1652" s="166" t="s">
        <v>1107</v>
      </c>
      <c r="F1652" s="166">
        <v>769.37262842144253</v>
      </c>
    </row>
    <row r="1653" spans="1:6">
      <c r="A1653" s="403">
        <v>3191</v>
      </c>
      <c r="B1653" s="403">
        <v>18</v>
      </c>
      <c r="C1653" s="166">
        <v>1590</v>
      </c>
      <c r="D1653" s="166">
        <v>100</v>
      </c>
      <c r="E1653" s="166" t="s">
        <v>1107</v>
      </c>
      <c r="F1653" s="166">
        <v>769.37262842144253</v>
      </c>
    </row>
    <row r="1654" spans="1:6">
      <c r="A1654" s="403">
        <v>3192</v>
      </c>
      <c r="B1654" s="403">
        <v>18</v>
      </c>
      <c r="C1654" s="166">
        <v>1590</v>
      </c>
      <c r="D1654" s="166">
        <v>100</v>
      </c>
      <c r="E1654" s="166" t="s">
        <v>1107</v>
      </c>
      <c r="F1654" s="166">
        <v>769.37262842144253</v>
      </c>
    </row>
    <row r="1655" spans="1:6">
      <c r="A1655" s="403">
        <v>3193</v>
      </c>
      <c r="B1655" s="403">
        <v>18</v>
      </c>
      <c r="C1655" s="166">
        <v>1590</v>
      </c>
      <c r="D1655" s="166">
        <v>100</v>
      </c>
      <c r="E1655" s="166" t="s">
        <v>1107</v>
      </c>
      <c r="F1655" s="166">
        <v>769.37262842144253</v>
      </c>
    </row>
    <row r="1656" spans="1:6">
      <c r="A1656" s="403">
        <v>3194</v>
      </c>
      <c r="B1656" s="403">
        <v>18</v>
      </c>
      <c r="C1656" s="166">
        <v>1590</v>
      </c>
      <c r="D1656" s="166">
        <v>100</v>
      </c>
      <c r="E1656" s="166" t="s">
        <v>1107</v>
      </c>
      <c r="F1656" s="166">
        <v>769.37262842144253</v>
      </c>
    </row>
    <row r="1657" spans="1:6">
      <c r="A1657" s="403">
        <v>3195</v>
      </c>
      <c r="B1657" s="403">
        <v>18</v>
      </c>
      <c r="C1657" s="166">
        <v>1590</v>
      </c>
      <c r="D1657" s="166">
        <v>100</v>
      </c>
      <c r="E1657" s="166" t="s">
        <v>1107</v>
      </c>
      <c r="F1657" s="166">
        <v>769.37262842144253</v>
      </c>
    </row>
    <row r="1658" spans="1:6">
      <c r="A1658" s="403">
        <v>3196</v>
      </c>
      <c r="B1658" s="403">
        <v>18</v>
      </c>
      <c r="C1658" s="166">
        <v>1590</v>
      </c>
      <c r="D1658" s="166">
        <v>100</v>
      </c>
      <c r="E1658" s="166" t="s">
        <v>1107</v>
      </c>
      <c r="F1658" s="166">
        <v>769.37262842144253</v>
      </c>
    </row>
    <row r="1659" spans="1:6">
      <c r="A1659" s="403">
        <v>3197</v>
      </c>
      <c r="B1659" s="403">
        <v>18</v>
      </c>
      <c r="C1659" s="166">
        <v>1590</v>
      </c>
      <c r="D1659" s="166">
        <v>100</v>
      </c>
      <c r="E1659" s="166" t="s">
        <v>1107</v>
      </c>
      <c r="F1659" s="166">
        <v>769.37262842144253</v>
      </c>
    </row>
    <row r="1660" spans="1:6">
      <c r="A1660" s="403">
        <v>3198</v>
      </c>
      <c r="B1660" s="403">
        <v>18</v>
      </c>
      <c r="C1660" s="166">
        <v>1590</v>
      </c>
      <c r="D1660" s="166">
        <v>100</v>
      </c>
      <c r="E1660" s="166" t="s">
        <v>1107</v>
      </c>
      <c r="F1660" s="166">
        <v>769.37262842144253</v>
      </c>
    </row>
    <row r="1661" spans="1:6">
      <c r="A1661" s="403">
        <v>3199</v>
      </c>
      <c r="B1661" s="403">
        <v>18</v>
      </c>
      <c r="C1661" s="166">
        <v>1590</v>
      </c>
      <c r="D1661" s="166">
        <v>100</v>
      </c>
      <c r="E1661" s="166" t="s">
        <v>1107</v>
      </c>
      <c r="F1661" s="166">
        <v>769.37262842144253</v>
      </c>
    </row>
    <row r="1662" spans="1:6">
      <c r="A1662" s="403">
        <v>3200</v>
      </c>
      <c r="B1662" s="403">
        <v>18</v>
      </c>
      <c r="C1662" s="166">
        <v>1590</v>
      </c>
      <c r="D1662" s="166">
        <v>100</v>
      </c>
      <c r="E1662" s="166" t="s">
        <v>1107</v>
      </c>
      <c r="F1662" s="166">
        <v>769.37262842144253</v>
      </c>
    </row>
    <row r="1663" spans="1:6">
      <c r="A1663" s="403">
        <v>3201</v>
      </c>
      <c r="B1663" s="403">
        <v>18</v>
      </c>
      <c r="C1663" s="166">
        <v>1590</v>
      </c>
      <c r="D1663" s="166">
        <v>100</v>
      </c>
      <c r="E1663" s="166" t="s">
        <v>1107</v>
      </c>
      <c r="F1663" s="166">
        <v>769.37262842144253</v>
      </c>
    </row>
    <row r="1664" spans="1:6">
      <c r="A1664" s="403">
        <v>3202</v>
      </c>
      <c r="B1664" s="403">
        <v>18</v>
      </c>
      <c r="C1664" s="166">
        <v>1590</v>
      </c>
      <c r="D1664" s="166">
        <v>100</v>
      </c>
      <c r="E1664" s="166" t="s">
        <v>1107</v>
      </c>
      <c r="F1664" s="166">
        <v>769.37262842144253</v>
      </c>
    </row>
    <row r="1665" spans="1:6">
      <c r="A1665" s="403">
        <v>3204</v>
      </c>
      <c r="B1665" s="403">
        <v>18</v>
      </c>
      <c r="C1665" s="166">
        <v>1590</v>
      </c>
      <c r="D1665" s="166">
        <v>100</v>
      </c>
      <c r="E1665" s="166" t="s">
        <v>1107</v>
      </c>
      <c r="F1665" s="166">
        <v>769.37262842144253</v>
      </c>
    </row>
    <row r="1666" spans="1:6">
      <c r="A1666" s="403">
        <v>3205</v>
      </c>
      <c r="B1666" s="403">
        <v>18</v>
      </c>
      <c r="C1666" s="166">
        <v>1590</v>
      </c>
      <c r="D1666" s="166">
        <v>100</v>
      </c>
      <c r="E1666" s="166" t="s">
        <v>1107</v>
      </c>
      <c r="F1666" s="166">
        <v>769.37262842144253</v>
      </c>
    </row>
    <row r="1667" spans="1:6">
      <c r="A1667" s="403">
        <v>3206</v>
      </c>
      <c r="B1667" s="403">
        <v>18</v>
      </c>
      <c r="C1667" s="166">
        <v>1590</v>
      </c>
      <c r="D1667" s="166">
        <v>100</v>
      </c>
      <c r="E1667" s="166" t="s">
        <v>1107</v>
      </c>
      <c r="F1667" s="166">
        <v>769.37262842144253</v>
      </c>
    </row>
    <row r="1668" spans="1:6">
      <c r="A1668" s="403">
        <v>3207</v>
      </c>
      <c r="B1668" s="403">
        <v>18</v>
      </c>
      <c r="C1668" s="166">
        <v>1590</v>
      </c>
      <c r="D1668" s="166">
        <v>100</v>
      </c>
      <c r="E1668" s="166" t="s">
        <v>1107</v>
      </c>
      <c r="F1668" s="166">
        <v>769.37262842144253</v>
      </c>
    </row>
    <row r="1669" spans="1:6">
      <c r="A1669" s="403">
        <v>3211</v>
      </c>
      <c r="B1669" s="403">
        <v>18</v>
      </c>
      <c r="C1669" s="166">
        <v>1590</v>
      </c>
      <c r="D1669" s="166">
        <v>100</v>
      </c>
      <c r="E1669" s="166" t="s">
        <v>1107</v>
      </c>
      <c r="F1669" s="166">
        <v>769.37262842144253</v>
      </c>
    </row>
    <row r="1670" spans="1:6">
      <c r="A1670" s="403">
        <v>3212</v>
      </c>
      <c r="B1670" s="403">
        <v>18</v>
      </c>
      <c r="C1670" s="166">
        <v>1590</v>
      </c>
      <c r="D1670" s="166">
        <v>100</v>
      </c>
      <c r="E1670" s="166" t="s">
        <v>1107</v>
      </c>
      <c r="F1670" s="166">
        <v>769.37262842144253</v>
      </c>
    </row>
    <row r="1671" spans="1:6">
      <c r="A1671" s="403">
        <v>3214</v>
      </c>
      <c r="B1671" s="403">
        <v>18</v>
      </c>
      <c r="C1671" s="166">
        <v>1590</v>
      </c>
      <c r="D1671" s="166">
        <v>100</v>
      </c>
      <c r="E1671" s="166" t="s">
        <v>1107</v>
      </c>
      <c r="F1671" s="166">
        <v>769.37262842144253</v>
      </c>
    </row>
    <row r="1672" spans="1:6">
      <c r="A1672" s="403">
        <v>3215</v>
      </c>
      <c r="B1672" s="403">
        <v>18</v>
      </c>
      <c r="C1672" s="166">
        <v>1590</v>
      </c>
      <c r="D1672" s="166">
        <v>100</v>
      </c>
      <c r="E1672" s="166" t="s">
        <v>1107</v>
      </c>
      <c r="F1672" s="166">
        <v>769.37262842144253</v>
      </c>
    </row>
    <row r="1673" spans="1:6">
      <c r="A1673" s="403">
        <v>3216</v>
      </c>
      <c r="B1673" s="403">
        <v>18</v>
      </c>
      <c r="C1673" s="166">
        <v>1590</v>
      </c>
      <c r="D1673" s="166">
        <v>100</v>
      </c>
      <c r="E1673" s="166" t="s">
        <v>1107</v>
      </c>
      <c r="F1673" s="166">
        <v>769.37262842144253</v>
      </c>
    </row>
    <row r="1674" spans="1:6">
      <c r="A1674" s="403">
        <v>3217</v>
      </c>
      <c r="B1674" s="403">
        <v>18</v>
      </c>
      <c r="C1674" s="166">
        <v>1590</v>
      </c>
      <c r="D1674" s="166">
        <v>100</v>
      </c>
      <c r="E1674" s="166" t="s">
        <v>1107</v>
      </c>
      <c r="F1674" s="166">
        <v>769.37262842144253</v>
      </c>
    </row>
    <row r="1675" spans="1:6">
      <c r="A1675" s="403">
        <v>3218</v>
      </c>
      <c r="B1675" s="403">
        <v>18</v>
      </c>
      <c r="C1675" s="166">
        <v>1590</v>
      </c>
      <c r="D1675" s="166">
        <v>100</v>
      </c>
      <c r="E1675" s="166" t="s">
        <v>1107</v>
      </c>
      <c r="F1675" s="166">
        <v>769.37262842144253</v>
      </c>
    </row>
    <row r="1676" spans="1:6">
      <c r="A1676" s="403">
        <v>3219</v>
      </c>
      <c r="B1676" s="403">
        <v>18</v>
      </c>
      <c r="C1676" s="166">
        <v>1590</v>
      </c>
      <c r="D1676" s="166">
        <v>100</v>
      </c>
      <c r="E1676" s="166" t="s">
        <v>1107</v>
      </c>
      <c r="F1676" s="166">
        <v>769.37262842144253</v>
      </c>
    </row>
    <row r="1677" spans="1:6">
      <c r="A1677" s="403">
        <v>3220</v>
      </c>
      <c r="B1677" s="403">
        <v>18</v>
      </c>
      <c r="C1677" s="166">
        <v>1590</v>
      </c>
      <c r="D1677" s="166">
        <v>100</v>
      </c>
      <c r="E1677" s="166" t="s">
        <v>1107</v>
      </c>
      <c r="F1677" s="166">
        <v>769.37262842144253</v>
      </c>
    </row>
    <row r="1678" spans="1:6">
      <c r="A1678" s="403">
        <v>3221</v>
      </c>
      <c r="B1678" s="403">
        <v>18</v>
      </c>
      <c r="C1678" s="166">
        <v>1590</v>
      </c>
      <c r="D1678" s="166">
        <v>100</v>
      </c>
      <c r="E1678" s="166" t="s">
        <v>1107</v>
      </c>
      <c r="F1678" s="166">
        <v>769.37262842144253</v>
      </c>
    </row>
    <row r="1679" spans="1:6">
      <c r="A1679" s="403">
        <v>3222</v>
      </c>
      <c r="B1679" s="403">
        <v>18</v>
      </c>
      <c r="C1679" s="166">
        <v>1590</v>
      </c>
      <c r="D1679" s="166">
        <v>100</v>
      </c>
      <c r="E1679" s="166" t="s">
        <v>1107</v>
      </c>
      <c r="F1679" s="166">
        <v>769.37262842144253</v>
      </c>
    </row>
    <row r="1680" spans="1:6">
      <c r="A1680" s="403">
        <v>3223</v>
      </c>
      <c r="B1680" s="403">
        <v>18</v>
      </c>
      <c r="C1680" s="166">
        <v>1590</v>
      </c>
      <c r="D1680" s="166">
        <v>100</v>
      </c>
      <c r="E1680" s="166" t="s">
        <v>1107</v>
      </c>
      <c r="F1680" s="166">
        <v>769.37262842144253</v>
      </c>
    </row>
    <row r="1681" spans="1:6">
      <c r="A1681" s="403">
        <v>3224</v>
      </c>
      <c r="B1681" s="403">
        <v>18</v>
      </c>
      <c r="C1681" s="166">
        <v>1590</v>
      </c>
      <c r="D1681" s="166">
        <v>100</v>
      </c>
      <c r="E1681" s="166" t="s">
        <v>1107</v>
      </c>
      <c r="F1681" s="166">
        <v>769.37262842144253</v>
      </c>
    </row>
    <row r="1682" spans="1:6">
      <c r="A1682" s="403">
        <v>3225</v>
      </c>
      <c r="B1682" s="403">
        <v>18</v>
      </c>
      <c r="C1682" s="166">
        <v>1590</v>
      </c>
      <c r="D1682" s="166">
        <v>100</v>
      </c>
      <c r="E1682" s="166" t="s">
        <v>1107</v>
      </c>
      <c r="F1682" s="166">
        <v>769.37262842144253</v>
      </c>
    </row>
    <row r="1683" spans="1:6">
      <c r="A1683" s="403">
        <v>3226</v>
      </c>
      <c r="B1683" s="403">
        <v>18</v>
      </c>
      <c r="C1683" s="166">
        <v>1590</v>
      </c>
      <c r="D1683" s="166">
        <v>100</v>
      </c>
      <c r="E1683" s="166" t="s">
        <v>1107</v>
      </c>
      <c r="F1683" s="166">
        <v>769.37262842144253</v>
      </c>
    </row>
    <row r="1684" spans="1:6">
      <c r="A1684" s="403">
        <v>3227</v>
      </c>
      <c r="B1684" s="403">
        <v>18</v>
      </c>
      <c r="C1684" s="166">
        <v>1590</v>
      </c>
      <c r="D1684" s="166">
        <v>100</v>
      </c>
      <c r="E1684" s="166" t="s">
        <v>1107</v>
      </c>
      <c r="F1684" s="166">
        <v>769.37262842144253</v>
      </c>
    </row>
    <row r="1685" spans="1:6">
      <c r="A1685" s="403">
        <v>3228</v>
      </c>
      <c r="B1685" s="403">
        <v>18</v>
      </c>
      <c r="C1685" s="166">
        <v>1590</v>
      </c>
      <c r="D1685" s="166">
        <v>100</v>
      </c>
      <c r="E1685" s="166" t="s">
        <v>1107</v>
      </c>
      <c r="F1685" s="166">
        <v>769.37262842144253</v>
      </c>
    </row>
    <row r="1686" spans="1:6">
      <c r="A1686" s="403">
        <v>3230</v>
      </c>
      <c r="B1686" s="403">
        <v>18</v>
      </c>
      <c r="C1686" s="166">
        <v>1590</v>
      </c>
      <c r="D1686" s="166">
        <v>100</v>
      </c>
      <c r="E1686" s="166" t="s">
        <v>1107</v>
      </c>
      <c r="F1686" s="166">
        <v>769.37262842144253</v>
      </c>
    </row>
    <row r="1687" spans="1:6">
      <c r="A1687" s="403">
        <v>3231</v>
      </c>
      <c r="B1687" s="403">
        <v>18</v>
      </c>
      <c r="C1687" s="166">
        <v>1590</v>
      </c>
      <c r="D1687" s="166">
        <v>100</v>
      </c>
      <c r="E1687" s="166" t="s">
        <v>1107</v>
      </c>
      <c r="F1687" s="166">
        <v>769.37262842144253</v>
      </c>
    </row>
    <row r="1688" spans="1:6">
      <c r="A1688" s="403">
        <v>3232</v>
      </c>
      <c r="B1688" s="403">
        <v>15</v>
      </c>
      <c r="C1688" s="166">
        <v>2049</v>
      </c>
      <c r="D1688" s="166">
        <v>104</v>
      </c>
      <c r="E1688" s="166" t="s">
        <v>1107</v>
      </c>
      <c r="F1688" s="166">
        <v>739.46081739782858</v>
      </c>
    </row>
    <row r="1689" spans="1:6">
      <c r="A1689" s="403">
        <v>3233</v>
      </c>
      <c r="B1689" s="403">
        <v>15</v>
      </c>
      <c r="C1689" s="166">
        <v>2049</v>
      </c>
      <c r="D1689" s="166">
        <v>104</v>
      </c>
      <c r="E1689" s="166" t="s">
        <v>1107</v>
      </c>
      <c r="F1689" s="166">
        <v>739.46081739782858</v>
      </c>
    </row>
    <row r="1690" spans="1:6">
      <c r="A1690" s="403">
        <v>3235</v>
      </c>
      <c r="B1690" s="403">
        <v>15</v>
      </c>
      <c r="C1690" s="166">
        <v>2049</v>
      </c>
      <c r="D1690" s="166">
        <v>104</v>
      </c>
      <c r="E1690" s="166" t="s">
        <v>1107</v>
      </c>
      <c r="F1690" s="166">
        <v>739.46081739782858</v>
      </c>
    </row>
    <row r="1691" spans="1:6">
      <c r="A1691" s="403">
        <v>3236</v>
      </c>
      <c r="B1691" s="403">
        <v>15</v>
      </c>
      <c r="C1691" s="166">
        <v>2049</v>
      </c>
      <c r="D1691" s="166">
        <v>104</v>
      </c>
      <c r="E1691" s="166" t="s">
        <v>1107</v>
      </c>
      <c r="F1691" s="166">
        <v>739.46081739782858</v>
      </c>
    </row>
    <row r="1692" spans="1:6">
      <c r="A1692" s="403">
        <v>3237</v>
      </c>
      <c r="B1692" s="403">
        <v>15</v>
      </c>
      <c r="C1692" s="166">
        <v>2049</v>
      </c>
      <c r="D1692" s="166">
        <v>104</v>
      </c>
      <c r="E1692" s="166" t="s">
        <v>1107</v>
      </c>
      <c r="F1692" s="166">
        <v>739.46081739782858</v>
      </c>
    </row>
    <row r="1693" spans="1:6">
      <c r="A1693" s="403">
        <v>3238</v>
      </c>
      <c r="B1693" s="403">
        <v>15</v>
      </c>
      <c r="C1693" s="166">
        <v>2049</v>
      </c>
      <c r="D1693" s="166">
        <v>104</v>
      </c>
      <c r="E1693" s="166" t="s">
        <v>1107</v>
      </c>
      <c r="F1693" s="166">
        <v>739.46081739782858</v>
      </c>
    </row>
    <row r="1694" spans="1:6">
      <c r="A1694" s="403">
        <v>3239</v>
      </c>
      <c r="B1694" s="403">
        <v>15</v>
      </c>
      <c r="C1694" s="166">
        <v>2049</v>
      </c>
      <c r="D1694" s="166">
        <v>104</v>
      </c>
      <c r="E1694" s="166" t="s">
        <v>1107</v>
      </c>
      <c r="F1694" s="166">
        <v>739.46081739782858</v>
      </c>
    </row>
    <row r="1695" spans="1:6">
      <c r="A1695" s="403">
        <v>3240</v>
      </c>
      <c r="B1695" s="403">
        <v>18</v>
      </c>
      <c r="C1695" s="166">
        <v>1590</v>
      </c>
      <c r="D1695" s="166">
        <v>100</v>
      </c>
      <c r="E1695" s="166" t="s">
        <v>1107</v>
      </c>
      <c r="F1695" s="166">
        <v>769.37262842144253</v>
      </c>
    </row>
    <row r="1696" spans="1:6">
      <c r="A1696" s="403">
        <v>3241</v>
      </c>
      <c r="B1696" s="403">
        <v>18</v>
      </c>
      <c r="C1696" s="166">
        <v>1590</v>
      </c>
      <c r="D1696" s="166">
        <v>100</v>
      </c>
      <c r="E1696" s="166" t="s">
        <v>1107</v>
      </c>
      <c r="F1696" s="166">
        <v>769.37262842144253</v>
      </c>
    </row>
    <row r="1697" spans="1:6">
      <c r="A1697" s="403">
        <v>3242</v>
      </c>
      <c r="B1697" s="403">
        <v>15</v>
      </c>
      <c r="C1697" s="166">
        <v>2049</v>
      </c>
      <c r="D1697" s="166">
        <v>104</v>
      </c>
      <c r="E1697" s="166" t="s">
        <v>1107</v>
      </c>
      <c r="F1697" s="166">
        <v>739.46081739782858</v>
      </c>
    </row>
    <row r="1698" spans="1:6">
      <c r="A1698" s="403">
        <v>3243</v>
      </c>
      <c r="B1698" s="403">
        <v>15</v>
      </c>
      <c r="C1698" s="166">
        <v>2049</v>
      </c>
      <c r="D1698" s="166">
        <v>104</v>
      </c>
      <c r="E1698" s="166" t="s">
        <v>1107</v>
      </c>
      <c r="F1698" s="166">
        <v>739.46081739782858</v>
      </c>
    </row>
    <row r="1699" spans="1:6">
      <c r="A1699" s="403">
        <v>3249</v>
      </c>
      <c r="B1699" s="403">
        <v>15</v>
      </c>
      <c r="C1699" s="166">
        <v>2049</v>
      </c>
      <c r="D1699" s="166">
        <v>104</v>
      </c>
      <c r="E1699" s="166" t="s">
        <v>1107</v>
      </c>
      <c r="F1699" s="166">
        <v>739.46081739782858</v>
      </c>
    </row>
    <row r="1700" spans="1:6">
      <c r="A1700" s="403">
        <v>3250</v>
      </c>
      <c r="B1700" s="403">
        <v>15</v>
      </c>
      <c r="C1700" s="166">
        <v>2049</v>
      </c>
      <c r="D1700" s="166">
        <v>104</v>
      </c>
      <c r="E1700" s="166" t="s">
        <v>1107</v>
      </c>
      <c r="F1700" s="166">
        <v>739.46081739782858</v>
      </c>
    </row>
    <row r="1701" spans="1:6">
      <c r="A1701" s="403">
        <v>3251</v>
      </c>
      <c r="B1701" s="403">
        <v>15</v>
      </c>
      <c r="C1701" s="166">
        <v>2049</v>
      </c>
      <c r="D1701" s="166">
        <v>104</v>
      </c>
      <c r="E1701" s="166" t="s">
        <v>1107</v>
      </c>
      <c r="F1701" s="166">
        <v>739.46081739782858</v>
      </c>
    </row>
    <row r="1702" spans="1:6">
      <c r="A1702" s="403">
        <v>3254</v>
      </c>
      <c r="B1702" s="403">
        <v>15</v>
      </c>
      <c r="C1702" s="166">
        <v>2049</v>
      </c>
      <c r="D1702" s="166">
        <v>104</v>
      </c>
      <c r="E1702" s="166" t="s">
        <v>1107</v>
      </c>
      <c r="F1702" s="166">
        <v>739.46081739782858</v>
      </c>
    </row>
    <row r="1703" spans="1:6">
      <c r="A1703" s="403">
        <v>3260</v>
      </c>
      <c r="B1703" s="403">
        <v>15</v>
      </c>
      <c r="C1703" s="166">
        <v>2049</v>
      </c>
      <c r="D1703" s="166">
        <v>104</v>
      </c>
      <c r="E1703" s="166" t="s">
        <v>1107</v>
      </c>
      <c r="F1703" s="166">
        <v>739.46081739782858</v>
      </c>
    </row>
    <row r="1704" spans="1:6">
      <c r="A1704" s="403">
        <v>3264</v>
      </c>
      <c r="B1704" s="403">
        <v>15</v>
      </c>
      <c r="C1704" s="166">
        <v>2049</v>
      </c>
      <c r="D1704" s="166">
        <v>104</v>
      </c>
      <c r="E1704" s="166" t="s">
        <v>1107</v>
      </c>
      <c r="F1704" s="166">
        <v>739.46081739782858</v>
      </c>
    </row>
    <row r="1705" spans="1:6">
      <c r="A1705" s="403">
        <v>3265</v>
      </c>
      <c r="B1705" s="403">
        <v>15</v>
      </c>
      <c r="C1705" s="166">
        <v>2049</v>
      </c>
      <c r="D1705" s="166">
        <v>104</v>
      </c>
      <c r="E1705" s="166" t="s">
        <v>1107</v>
      </c>
      <c r="F1705" s="166">
        <v>739.46081739782858</v>
      </c>
    </row>
    <row r="1706" spans="1:6">
      <c r="A1706" s="403">
        <v>3266</v>
      </c>
      <c r="B1706" s="403">
        <v>15</v>
      </c>
      <c r="C1706" s="166">
        <v>2049</v>
      </c>
      <c r="D1706" s="166">
        <v>104</v>
      </c>
      <c r="E1706" s="166" t="s">
        <v>1107</v>
      </c>
      <c r="F1706" s="166">
        <v>739.46081739782858</v>
      </c>
    </row>
    <row r="1707" spans="1:6">
      <c r="A1707" s="403">
        <v>3267</v>
      </c>
      <c r="B1707" s="403">
        <v>15</v>
      </c>
      <c r="C1707" s="166">
        <v>2049</v>
      </c>
      <c r="D1707" s="166">
        <v>104</v>
      </c>
      <c r="E1707" s="166" t="s">
        <v>1107</v>
      </c>
      <c r="F1707" s="166">
        <v>739.46081739782858</v>
      </c>
    </row>
    <row r="1708" spans="1:6">
      <c r="A1708" s="403">
        <v>3268</v>
      </c>
      <c r="B1708" s="403">
        <v>15</v>
      </c>
      <c r="C1708" s="166">
        <v>2049</v>
      </c>
      <c r="D1708" s="166">
        <v>104</v>
      </c>
      <c r="E1708" s="166" t="s">
        <v>1107</v>
      </c>
      <c r="F1708" s="166">
        <v>739.46081739782858</v>
      </c>
    </row>
    <row r="1709" spans="1:6">
      <c r="A1709" s="403">
        <v>3269</v>
      </c>
      <c r="B1709" s="403">
        <v>15</v>
      </c>
      <c r="C1709" s="166">
        <v>2049</v>
      </c>
      <c r="D1709" s="166">
        <v>104</v>
      </c>
      <c r="E1709" s="166" t="s">
        <v>1107</v>
      </c>
      <c r="F1709" s="166">
        <v>739.46081739782858</v>
      </c>
    </row>
    <row r="1710" spans="1:6">
      <c r="A1710" s="403">
        <v>3270</v>
      </c>
      <c r="B1710" s="403">
        <v>15</v>
      </c>
      <c r="C1710" s="166">
        <v>2049</v>
      </c>
      <c r="D1710" s="166">
        <v>104</v>
      </c>
      <c r="E1710" s="166" t="s">
        <v>1107</v>
      </c>
      <c r="F1710" s="166">
        <v>739.46081739782858</v>
      </c>
    </row>
    <row r="1711" spans="1:6">
      <c r="A1711" s="403">
        <v>3271</v>
      </c>
      <c r="B1711" s="403">
        <v>15</v>
      </c>
      <c r="C1711" s="166">
        <v>2049</v>
      </c>
      <c r="D1711" s="166">
        <v>104</v>
      </c>
      <c r="E1711" s="166" t="s">
        <v>1107</v>
      </c>
      <c r="F1711" s="166">
        <v>739.46081739782858</v>
      </c>
    </row>
    <row r="1712" spans="1:6">
      <c r="A1712" s="403">
        <v>3272</v>
      </c>
      <c r="B1712" s="403">
        <v>15</v>
      </c>
      <c r="C1712" s="166">
        <v>2049</v>
      </c>
      <c r="D1712" s="166">
        <v>104</v>
      </c>
      <c r="E1712" s="166" t="s">
        <v>1107</v>
      </c>
      <c r="F1712" s="166">
        <v>739.46081739782858</v>
      </c>
    </row>
    <row r="1713" spans="1:6">
      <c r="A1713" s="403">
        <v>3273</v>
      </c>
      <c r="B1713" s="403">
        <v>15</v>
      </c>
      <c r="C1713" s="166">
        <v>2049</v>
      </c>
      <c r="D1713" s="166">
        <v>104</v>
      </c>
      <c r="E1713" s="166" t="s">
        <v>1107</v>
      </c>
      <c r="F1713" s="166">
        <v>739.46081739782858</v>
      </c>
    </row>
    <row r="1714" spans="1:6">
      <c r="A1714" s="403">
        <v>3274</v>
      </c>
      <c r="B1714" s="403">
        <v>15</v>
      </c>
      <c r="C1714" s="166">
        <v>2049</v>
      </c>
      <c r="D1714" s="166">
        <v>104</v>
      </c>
      <c r="E1714" s="166" t="s">
        <v>1107</v>
      </c>
      <c r="F1714" s="166">
        <v>739.46081739782858</v>
      </c>
    </row>
    <row r="1715" spans="1:6">
      <c r="A1715" s="403">
        <v>3275</v>
      </c>
      <c r="B1715" s="403">
        <v>15</v>
      </c>
      <c r="C1715" s="166">
        <v>2049</v>
      </c>
      <c r="D1715" s="166">
        <v>104</v>
      </c>
      <c r="E1715" s="166" t="s">
        <v>1107</v>
      </c>
      <c r="F1715" s="166">
        <v>739.46081739782858</v>
      </c>
    </row>
    <row r="1716" spans="1:6">
      <c r="A1716" s="403">
        <v>3276</v>
      </c>
      <c r="B1716" s="403">
        <v>15</v>
      </c>
      <c r="C1716" s="166">
        <v>2049</v>
      </c>
      <c r="D1716" s="166">
        <v>104</v>
      </c>
      <c r="E1716" s="166" t="s">
        <v>1107</v>
      </c>
      <c r="F1716" s="166">
        <v>739.46081739782858</v>
      </c>
    </row>
    <row r="1717" spans="1:6">
      <c r="A1717" s="403">
        <v>3277</v>
      </c>
      <c r="B1717" s="403">
        <v>15</v>
      </c>
      <c r="C1717" s="166">
        <v>2049</v>
      </c>
      <c r="D1717" s="166">
        <v>104</v>
      </c>
      <c r="E1717" s="166" t="s">
        <v>1107</v>
      </c>
      <c r="F1717" s="166">
        <v>739.46081739782858</v>
      </c>
    </row>
    <row r="1718" spans="1:6">
      <c r="A1718" s="403">
        <v>3278</v>
      </c>
      <c r="B1718" s="403">
        <v>15</v>
      </c>
      <c r="C1718" s="166">
        <v>2049</v>
      </c>
      <c r="D1718" s="166">
        <v>104</v>
      </c>
      <c r="E1718" s="166" t="s">
        <v>1107</v>
      </c>
      <c r="F1718" s="166">
        <v>739.46081739782858</v>
      </c>
    </row>
    <row r="1719" spans="1:6">
      <c r="A1719" s="403">
        <v>3279</v>
      </c>
      <c r="B1719" s="403">
        <v>15</v>
      </c>
      <c r="C1719" s="166">
        <v>2049</v>
      </c>
      <c r="D1719" s="166">
        <v>104</v>
      </c>
      <c r="E1719" s="166" t="s">
        <v>1107</v>
      </c>
      <c r="F1719" s="166">
        <v>739.46081739782858</v>
      </c>
    </row>
    <row r="1720" spans="1:6">
      <c r="A1720" s="403">
        <v>3280</v>
      </c>
      <c r="B1720" s="403">
        <v>15</v>
      </c>
      <c r="C1720" s="166">
        <v>2049</v>
      </c>
      <c r="D1720" s="166">
        <v>104</v>
      </c>
      <c r="E1720" s="166" t="s">
        <v>1107</v>
      </c>
      <c r="F1720" s="166">
        <v>739.46081739782858</v>
      </c>
    </row>
    <row r="1721" spans="1:6">
      <c r="A1721" s="403">
        <v>3281</v>
      </c>
      <c r="B1721" s="403">
        <v>15</v>
      </c>
      <c r="C1721" s="166">
        <v>2049</v>
      </c>
      <c r="D1721" s="166">
        <v>104</v>
      </c>
      <c r="E1721" s="166" t="s">
        <v>1107</v>
      </c>
      <c r="F1721" s="166">
        <v>739.46081739782858</v>
      </c>
    </row>
    <row r="1722" spans="1:6">
      <c r="A1722" s="403">
        <v>3282</v>
      </c>
      <c r="B1722" s="403">
        <v>15</v>
      </c>
      <c r="C1722" s="166">
        <v>2049</v>
      </c>
      <c r="D1722" s="166">
        <v>104</v>
      </c>
      <c r="E1722" s="166" t="s">
        <v>1107</v>
      </c>
      <c r="F1722" s="166">
        <v>739.46081739782858</v>
      </c>
    </row>
    <row r="1723" spans="1:6">
      <c r="A1723" s="403">
        <v>3283</v>
      </c>
      <c r="B1723" s="403">
        <v>15</v>
      </c>
      <c r="C1723" s="166">
        <v>2049</v>
      </c>
      <c r="D1723" s="166">
        <v>104</v>
      </c>
      <c r="E1723" s="166" t="s">
        <v>1107</v>
      </c>
      <c r="F1723" s="166">
        <v>739.46081739782858</v>
      </c>
    </row>
    <row r="1724" spans="1:6">
      <c r="A1724" s="403">
        <v>3284</v>
      </c>
      <c r="B1724" s="403">
        <v>15</v>
      </c>
      <c r="C1724" s="166">
        <v>2049</v>
      </c>
      <c r="D1724" s="166">
        <v>104</v>
      </c>
      <c r="E1724" s="166" t="s">
        <v>1107</v>
      </c>
      <c r="F1724" s="166">
        <v>739.46081739782858</v>
      </c>
    </row>
    <row r="1725" spans="1:6">
      <c r="A1725" s="403">
        <v>3285</v>
      </c>
      <c r="B1725" s="403">
        <v>15</v>
      </c>
      <c r="C1725" s="166">
        <v>2049</v>
      </c>
      <c r="D1725" s="166">
        <v>104</v>
      </c>
      <c r="E1725" s="166" t="s">
        <v>1107</v>
      </c>
      <c r="F1725" s="166">
        <v>739.46081739782858</v>
      </c>
    </row>
    <row r="1726" spans="1:6">
      <c r="A1726" s="403">
        <v>3286</v>
      </c>
      <c r="B1726" s="403">
        <v>15</v>
      </c>
      <c r="C1726" s="166">
        <v>2049</v>
      </c>
      <c r="D1726" s="166">
        <v>104</v>
      </c>
      <c r="E1726" s="166" t="s">
        <v>1107</v>
      </c>
      <c r="F1726" s="166">
        <v>739.46081739782858</v>
      </c>
    </row>
    <row r="1727" spans="1:6">
      <c r="A1727" s="403">
        <v>3287</v>
      </c>
      <c r="B1727" s="403">
        <v>15</v>
      </c>
      <c r="C1727" s="166">
        <v>2049</v>
      </c>
      <c r="D1727" s="166">
        <v>104</v>
      </c>
      <c r="E1727" s="166" t="s">
        <v>1107</v>
      </c>
      <c r="F1727" s="166">
        <v>739.46081739782858</v>
      </c>
    </row>
    <row r="1728" spans="1:6">
      <c r="A1728" s="403">
        <v>3289</v>
      </c>
      <c r="B1728" s="403">
        <v>15</v>
      </c>
      <c r="C1728" s="166">
        <v>2049</v>
      </c>
      <c r="D1728" s="166">
        <v>104</v>
      </c>
      <c r="E1728" s="166" t="s">
        <v>1107</v>
      </c>
      <c r="F1728" s="166">
        <v>739.46081739782858</v>
      </c>
    </row>
    <row r="1729" spans="1:6">
      <c r="A1729" s="403">
        <v>3292</v>
      </c>
      <c r="B1729" s="403">
        <v>15</v>
      </c>
      <c r="C1729" s="166">
        <v>2049</v>
      </c>
      <c r="D1729" s="166">
        <v>104</v>
      </c>
      <c r="E1729" s="166" t="s">
        <v>1107</v>
      </c>
      <c r="F1729" s="166">
        <v>739.46081739782858</v>
      </c>
    </row>
    <row r="1730" spans="1:6">
      <c r="A1730" s="403">
        <v>3293</v>
      </c>
      <c r="B1730" s="403">
        <v>15</v>
      </c>
      <c r="C1730" s="166">
        <v>2049</v>
      </c>
      <c r="D1730" s="166">
        <v>104</v>
      </c>
      <c r="E1730" s="166" t="s">
        <v>1107</v>
      </c>
      <c r="F1730" s="166">
        <v>739.46081739782858</v>
      </c>
    </row>
    <row r="1731" spans="1:6">
      <c r="A1731" s="403">
        <v>3294</v>
      </c>
      <c r="B1731" s="403">
        <v>15</v>
      </c>
      <c r="C1731" s="166">
        <v>2049</v>
      </c>
      <c r="D1731" s="166">
        <v>104</v>
      </c>
      <c r="E1731" s="166" t="s">
        <v>1107</v>
      </c>
      <c r="F1731" s="166">
        <v>739.46081739782858</v>
      </c>
    </row>
    <row r="1732" spans="1:6">
      <c r="A1732" s="403">
        <v>3300</v>
      </c>
      <c r="B1732" s="403">
        <v>15</v>
      </c>
      <c r="C1732" s="166">
        <v>2049</v>
      </c>
      <c r="D1732" s="166">
        <v>104</v>
      </c>
      <c r="E1732" s="166" t="s">
        <v>1107</v>
      </c>
      <c r="F1732" s="166">
        <v>739.46081739782858</v>
      </c>
    </row>
    <row r="1733" spans="1:6">
      <c r="A1733" s="403">
        <v>3301</v>
      </c>
      <c r="B1733" s="403">
        <v>15</v>
      </c>
      <c r="C1733" s="166">
        <v>2049</v>
      </c>
      <c r="D1733" s="166">
        <v>104</v>
      </c>
      <c r="E1733" s="166" t="s">
        <v>1107</v>
      </c>
      <c r="F1733" s="166">
        <v>739.46081739782858</v>
      </c>
    </row>
    <row r="1734" spans="1:6">
      <c r="A1734" s="403">
        <v>3302</v>
      </c>
      <c r="B1734" s="403">
        <v>15</v>
      </c>
      <c r="C1734" s="166">
        <v>2049</v>
      </c>
      <c r="D1734" s="166">
        <v>104</v>
      </c>
      <c r="E1734" s="166" t="s">
        <v>1107</v>
      </c>
      <c r="F1734" s="166">
        <v>739.46081739782858</v>
      </c>
    </row>
    <row r="1735" spans="1:6">
      <c r="A1735" s="403">
        <v>3303</v>
      </c>
      <c r="B1735" s="403">
        <v>15</v>
      </c>
      <c r="C1735" s="166">
        <v>2049</v>
      </c>
      <c r="D1735" s="166">
        <v>104</v>
      </c>
      <c r="E1735" s="166" t="s">
        <v>1107</v>
      </c>
      <c r="F1735" s="166">
        <v>739.46081739782858</v>
      </c>
    </row>
    <row r="1736" spans="1:6">
      <c r="A1736" s="403">
        <v>3304</v>
      </c>
      <c r="B1736" s="403">
        <v>15</v>
      </c>
      <c r="C1736" s="166">
        <v>2049</v>
      </c>
      <c r="D1736" s="166">
        <v>104</v>
      </c>
      <c r="E1736" s="166" t="s">
        <v>1107</v>
      </c>
      <c r="F1736" s="166">
        <v>739.46081739782858</v>
      </c>
    </row>
    <row r="1737" spans="1:6">
      <c r="A1737" s="403">
        <v>3305</v>
      </c>
      <c r="B1737" s="403">
        <v>15</v>
      </c>
      <c r="C1737" s="166">
        <v>2049</v>
      </c>
      <c r="D1737" s="166">
        <v>104</v>
      </c>
      <c r="E1737" s="166" t="s">
        <v>1107</v>
      </c>
      <c r="F1737" s="166">
        <v>739.46081739782858</v>
      </c>
    </row>
    <row r="1738" spans="1:6">
      <c r="A1738" s="403">
        <v>3309</v>
      </c>
      <c r="B1738" s="403">
        <v>15</v>
      </c>
      <c r="C1738" s="166">
        <v>2049</v>
      </c>
      <c r="D1738" s="166">
        <v>104</v>
      </c>
      <c r="E1738" s="166" t="s">
        <v>1107</v>
      </c>
      <c r="F1738" s="166">
        <v>739.46081739782858</v>
      </c>
    </row>
    <row r="1739" spans="1:6">
      <c r="A1739" s="403">
        <v>3310</v>
      </c>
      <c r="B1739" s="403">
        <v>15</v>
      </c>
      <c r="C1739" s="166">
        <v>2049</v>
      </c>
      <c r="D1739" s="166">
        <v>104</v>
      </c>
      <c r="E1739" s="166" t="s">
        <v>1107</v>
      </c>
      <c r="F1739" s="166">
        <v>739.46081739782858</v>
      </c>
    </row>
    <row r="1740" spans="1:6">
      <c r="A1740" s="403">
        <v>3311</v>
      </c>
      <c r="B1740" s="403">
        <v>15</v>
      </c>
      <c r="C1740" s="166">
        <v>2049</v>
      </c>
      <c r="D1740" s="166">
        <v>104</v>
      </c>
      <c r="E1740" s="166" t="s">
        <v>1107</v>
      </c>
      <c r="F1740" s="166">
        <v>739.46081739782858</v>
      </c>
    </row>
    <row r="1741" spans="1:6">
      <c r="A1741" s="403">
        <v>3312</v>
      </c>
      <c r="B1741" s="403">
        <v>15</v>
      </c>
      <c r="C1741" s="166">
        <v>2049</v>
      </c>
      <c r="D1741" s="166">
        <v>104</v>
      </c>
      <c r="E1741" s="166" t="s">
        <v>1107</v>
      </c>
      <c r="F1741" s="166">
        <v>739.46081739782858</v>
      </c>
    </row>
    <row r="1742" spans="1:6">
      <c r="A1742" s="403">
        <v>3314</v>
      </c>
      <c r="B1742" s="403">
        <v>15</v>
      </c>
      <c r="C1742" s="166">
        <v>2049</v>
      </c>
      <c r="D1742" s="166">
        <v>104</v>
      </c>
      <c r="E1742" s="166" t="s">
        <v>1107</v>
      </c>
      <c r="F1742" s="166">
        <v>739.46081739782858</v>
      </c>
    </row>
    <row r="1743" spans="1:6">
      <c r="A1743" s="403">
        <v>3315</v>
      </c>
      <c r="B1743" s="403">
        <v>15</v>
      </c>
      <c r="C1743" s="166">
        <v>2049</v>
      </c>
      <c r="D1743" s="166">
        <v>104</v>
      </c>
      <c r="E1743" s="166" t="s">
        <v>1107</v>
      </c>
      <c r="F1743" s="166">
        <v>739.46081739782858</v>
      </c>
    </row>
    <row r="1744" spans="1:6">
      <c r="A1744" s="403">
        <v>3317</v>
      </c>
      <c r="B1744" s="403">
        <v>14</v>
      </c>
      <c r="C1744" s="166">
        <v>1610</v>
      </c>
      <c r="D1744" s="166">
        <v>120</v>
      </c>
      <c r="E1744" s="166" t="s">
        <v>1107</v>
      </c>
      <c r="F1744" s="166">
        <v>1003.2349311575726</v>
      </c>
    </row>
    <row r="1745" spans="1:6">
      <c r="A1745" s="403">
        <v>3318</v>
      </c>
      <c r="B1745" s="403">
        <v>14</v>
      </c>
      <c r="C1745" s="166">
        <v>1610</v>
      </c>
      <c r="D1745" s="166">
        <v>120</v>
      </c>
      <c r="E1745" s="166" t="s">
        <v>1107</v>
      </c>
      <c r="F1745" s="166">
        <v>1003.2349311575726</v>
      </c>
    </row>
    <row r="1746" spans="1:6">
      <c r="A1746" s="403">
        <v>3319</v>
      </c>
      <c r="B1746" s="403">
        <v>14</v>
      </c>
      <c r="C1746" s="166">
        <v>1610</v>
      </c>
      <c r="D1746" s="166">
        <v>120</v>
      </c>
      <c r="E1746" s="166" t="s">
        <v>1107</v>
      </c>
      <c r="F1746" s="166">
        <v>1003.2349311575726</v>
      </c>
    </row>
    <row r="1747" spans="1:6">
      <c r="A1747" s="403">
        <v>3321</v>
      </c>
      <c r="B1747" s="403">
        <v>18</v>
      </c>
      <c r="C1747" s="166">
        <v>1590</v>
      </c>
      <c r="D1747" s="166">
        <v>100</v>
      </c>
      <c r="E1747" s="166" t="s">
        <v>1107</v>
      </c>
      <c r="F1747" s="166">
        <v>769.37262842144253</v>
      </c>
    </row>
    <row r="1748" spans="1:6">
      <c r="A1748" s="403">
        <v>3322</v>
      </c>
      <c r="B1748" s="403">
        <v>15</v>
      </c>
      <c r="C1748" s="166">
        <v>2049</v>
      </c>
      <c r="D1748" s="166">
        <v>104</v>
      </c>
      <c r="E1748" s="166" t="s">
        <v>1107</v>
      </c>
      <c r="F1748" s="166">
        <v>739.46081739782858</v>
      </c>
    </row>
    <row r="1749" spans="1:6">
      <c r="A1749" s="403">
        <v>3323</v>
      </c>
      <c r="B1749" s="403">
        <v>18</v>
      </c>
      <c r="C1749" s="166">
        <v>1590</v>
      </c>
      <c r="D1749" s="166">
        <v>100</v>
      </c>
      <c r="E1749" s="166" t="s">
        <v>1107</v>
      </c>
      <c r="F1749" s="166">
        <v>769.37262842144253</v>
      </c>
    </row>
    <row r="1750" spans="1:6">
      <c r="A1750" s="403">
        <v>3324</v>
      </c>
      <c r="B1750" s="403">
        <v>15</v>
      </c>
      <c r="C1750" s="166">
        <v>2049</v>
      </c>
      <c r="D1750" s="166">
        <v>104</v>
      </c>
      <c r="E1750" s="166" t="s">
        <v>1107</v>
      </c>
      <c r="F1750" s="166">
        <v>739.46081739782858</v>
      </c>
    </row>
    <row r="1751" spans="1:6">
      <c r="A1751" s="403">
        <v>3325</v>
      </c>
      <c r="B1751" s="403">
        <v>15</v>
      </c>
      <c r="C1751" s="166">
        <v>2049</v>
      </c>
      <c r="D1751" s="166">
        <v>104</v>
      </c>
      <c r="E1751" s="166" t="s">
        <v>1107</v>
      </c>
      <c r="F1751" s="166">
        <v>739.46081739782858</v>
      </c>
    </row>
    <row r="1752" spans="1:6">
      <c r="A1752" s="403">
        <v>3328</v>
      </c>
      <c r="B1752" s="403">
        <v>18</v>
      </c>
      <c r="C1752" s="166">
        <v>1590</v>
      </c>
      <c r="D1752" s="166">
        <v>100</v>
      </c>
      <c r="E1752" s="166" t="s">
        <v>1107</v>
      </c>
      <c r="F1752" s="166">
        <v>769.37262842144253</v>
      </c>
    </row>
    <row r="1753" spans="1:6">
      <c r="A1753" s="403">
        <v>3329</v>
      </c>
      <c r="B1753" s="403">
        <v>18</v>
      </c>
      <c r="C1753" s="166">
        <v>1590</v>
      </c>
      <c r="D1753" s="166">
        <v>100</v>
      </c>
      <c r="E1753" s="166" t="s">
        <v>1107</v>
      </c>
      <c r="F1753" s="166">
        <v>769.37262842144253</v>
      </c>
    </row>
    <row r="1754" spans="1:6">
      <c r="A1754" s="403">
        <v>3330</v>
      </c>
      <c r="B1754" s="403">
        <v>18</v>
      </c>
      <c r="C1754" s="166">
        <v>1590</v>
      </c>
      <c r="D1754" s="166">
        <v>100</v>
      </c>
      <c r="E1754" s="166" t="s">
        <v>1107</v>
      </c>
      <c r="F1754" s="166">
        <v>769.37262842144253</v>
      </c>
    </row>
    <row r="1755" spans="1:6">
      <c r="A1755" s="403">
        <v>3331</v>
      </c>
      <c r="B1755" s="403">
        <v>18</v>
      </c>
      <c r="C1755" s="166">
        <v>1590</v>
      </c>
      <c r="D1755" s="166">
        <v>100</v>
      </c>
      <c r="E1755" s="166" t="s">
        <v>1107</v>
      </c>
      <c r="F1755" s="166">
        <v>769.37262842144253</v>
      </c>
    </row>
    <row r="1756" spans="1:6">
      <c r="A1756" s="403">
        <v>3332</v>
      </c>
      <c r="B1756" s="403">
        <v>18</v>
      </c>
      <c r="C1756" s="166">
        <v>1590</v>
      </c>
      <c r="D1756" s="166">
        <v>100</v>
      </c>
      <c r="E1756" s="166" t="s">
        <v>1107</v>
      </c>
      <c r="F1756" s="166">
        <v>769.37262842144253</v>
      </c>
    </row>
    <row r="1757" spans="1:6">
      <c r="A1757" s="403">
        <v>3333</v>
      </c>
      <c r="B1757" s="403">
        <v>18</v>
      </c>
      <c r="C1757" s="166">
        <v>1590</v>
      </c>
      <c r="D1757" s="166">
        <v>100</v>
      </c>
      <c r="E1757" s="166" t="s">
        <v>1107</v>
      </c>
      <c r="F1757" s="166">
        <v>769.37262842144253</v>
      </c>
    </row>
    <row r="1758" spans="1:6">
      <c r="A1758" s="403">
        <v>3334</v>
      </c>
      <c r="B1758" s="403">
        <v>18</v>
      </c>
      <c r="C1758" s="166">
        <v>1590</v>
      </c>
      <c r="D1758" s="166">
        <v>100</v>
      </c>
      <c r="E1758" s="166" t="s">
        <v>1107</v>
      </c>
      <c r="F1758" s="166">
        <v>769.37262842144253</v>
      </c>
    </row>
    <row r="1759" spans="1:6">
      <c r="A1759" s="403">
        <v>3335</v>
      </c>
      <c r="B1759" s="403">
        <v>18</v>
      </c>
      <c r="C1759" s="166">
        <v>1590</v>
      </c>
      <c r="D1759" s="166">
        <v>100</v>
      </c>
      <c r="E1759" s="166" t="s">
        <v>1107</v>
      </c>
      <c r="F1759" s="166">
        <v>769.37262842144253</v>
      </c>
    </row>
    <row r="1760" spans="1:6">
      <c r="A1760" s="403">
        <v>3337</v>
      </c>
      <c r="B1760" s="403">
        <v>18</v>
      </c>
      <c r="C1760" s="166">
        <v>1590</v>
      </c>
      <c r="D1760" s="166">
        <v>100</v>
      </c>
      <c r="E1760" s="166" t="s">
        <v>1107</v>
      </c>
      <c r="F1760" s="166">
        <v>769.37262842144253</v>
      </c>
    </row>
    <row r="1761" spans="1:6">
      <c r="A1761" s="403">
        <v>3338</v>
      </c>
      <c r="B1761" s="403">
        <v>18</v>
      </c>
      <c r="C1761" s="166">
        <v>1590</v>
      </c>
      <c r="D1761" s="166">
        <v>100</v>
      </c>
      <c r="E1761" s="166" t="s">
        <v>1107</v>
      </c>
      <c r="F1761" s="166">
        <v>769.37262842144253</v>
      </c>
    </row>
    <row r="1762" spans="1:6">
      <c r="A1762" s="403">
        <v>3340</v>
      </c>
      <c r="B1762" s="403">
        <v>18</v>
      </c>
      <c r="C1762" s="166">
        <v>1590</v>
      </c>
      <c r="D1762" s="166">
        <v>100</v>
      </c>
      <c r="E1762" s="166" t="s">
        <v>1107</v>
      </c>
      <c r="F1762" s="166">
        <v>769.37262842144253</v>
      </c>
    </row>
    <row r="1763" spans="1:6">
      <c r="A1763" s="403">
        <v>3341</v>
      </c>
      <c r="B1763" s="403">
        <v>18</v>
      </c>
      <c r="C1763" s="166">
        <v>1590</v>
      </c>
      <c r="D1763" s="166">
        <v>100</v>
      </c>
      <c r="E1763" s="166" t="s">
        <v>1107</v>
      </c>
      <c r="F1763" s="166">
        <v>769.37262842144253</v>
      </c>
    </row>
    <row r="1764" spans="1:6">
      <c r="A1764" s="403">
        <v>3342</v>
      </c>
      <c r="B1764" s="403">
        <v>18</v>
      </c>
      <c r="C1764" s="166">
        <v>1590</v>
      </c>
      <c r="D1764" s="166">
        <v>100</v>
      </c>
      <c r="E1764" s="166" t="s">
        <v>1107</v>
      </c>
      <c r="F1764" s="166">
        <v>769.37262842144253</v>
      </c>
    </row>
    <row r="1765" spans="1:6">
      <c r="A1765" s="403">
        <v>3345</v>
      </c>
      <c r="B1765" s="403">
        <v>18</v>
      </c>
      <c r="C1765" s="166">
        <v>1590</v>
      </c>
      <c r="D1765" s="166">
        <v>100</v>
      </c>
      <c r="E1765" s="166" t="s">
        <v>1107</v>
      </c>
      <c r="F1765" s="166">
        <v>769.37262842144253</v>
      </c>
    </row>
    <row r="1766" spans="1:6">
      <c r="A1766" s="403">
        <v>3350</v>
      </c>
      <c r="B1766" s="403">
        <v>15</v>
      </c>
      <c r="C1766" s="166">
        <v>2049</v>
      </c>
      <c r="D1766" s="166">
        <v>104</v>
      </c>
      <c r="E1766" s="166" t="s">
        <v>1107</v>
      </c>
      <c r="F1766" s="166">
        <v>739.46081739782858</v>
      </c>
    </row>
    <row r="1767" spans="1:6">
      <c r="A1767" s="403">
        <v>3351</v>
      </c>
      <c r="B1767" s="403">
        <v>15</v>
      </c>
      <c r="C1767" s="166">
        <v>2049</v>
      </c>
      <c r="D1767" s="166">
        <v>104</v>
      </c>
      <c r="E1767" s="166" t="s">
        <v>1107</v>
      </c>
      <c r="F1767" s="166">
        <v>739.46081739782858</v>
      </c>
    </row>
    <row r="1768" spans="1:6">
      <c r="A1768" s="403">
        <v>3352</v>
      </c>
      <c r="B1768" s="403">
        <v>15</v>
      </c>
      <c r="C1768" s="166">
        <v>2049</v>
      </c>
      <c r="D1768" s="166">
        <v>104</v>
      </c>
      <c r="E1768" s="166" t="s">
        <v>1107</v>
      </c>
      <c r="F1768" s="166">
        <v>739.46081739782858</v>
      </c>
    </row>
    <row r="1769" spans="1:6">
      <c r="A1769" s="403">
        <v>3353</v>
      </c>
      <c r="B1769" s="403">
        <v>15</v>
      </c>
      <c r="C1769" s="166">
        <v>2049</v>
      </c>
      <c r="D1769" s="166">
        <v>104</v>
      </c>
      <c r="E1769" s="166" t="s">
        <v>1107</v>
      </c>
      <c r="F1769" s="166">
        <v>739.46081739782858</v>
      </c>
    </row>
    <row r="1770" spans="1:6">
      <c r="A1770" s="403">
        <v>3354</v>
      </c>
      <c r="B1770" s="403">
        <v>15</v>
      </c>
      <c r="C1770" s="166">
        <v>2049</v>
      </c>
      <c r="D1770" s="166">
        <v>104</v>
      </c>
      <c r="E1770" s="166" t="s">
        <v>1107</v>
      </c>
      <c r="F1770" s="166">
        <v>739.46081739782858</v>
      </c>
    </row>
    <row r="1771" spans="1:6">
      <c r="A1771" s="403">
        <v>3355</v>
      </c>
      <c r="B1771" s="403">
        <v>15</v>
      </c>
      <c r="C1771" s="166">
        <v>2049</v>
      </c>
      <c r="D1771" s="166">
        <v>104</v>
      </c>
      <c r="E1771" s="166" t="s">
        <v>1107</v>
      </c>
      <c r="F1771" s="166">
        <v>739.46081739782858</v>
      </c>
    </row>
    <row r="1772" spans="1:6">
      <c r="A1772" s="403">
        <v>3356</v>
      </c>
      <c r="B1772" s="403">
        <v>15</v>
      </c>
      <c r="C1772" s="166">
        <v>2049</v>
      </c>
      <c r="D1772" s="166">
        <v>104</v>
      </c>
      <c r="E1772" s="166" t="s">
        <v>1107</v>
      </c>
      <c r="F1772" s="166">
        <v>739.46081739782858</v>
      </c>
    </row>
    <row r="1773" spans="1:6">
      <c r="A1773" s="403">
        <v>3357</v>
      </c>
      <c r="B1773" s="403">
        <v>15</v>
      </c>
      <c r="C1773" s="166">
        <v>2049</v>
      </c>
      <c r="D1773" s="166">
        <v>104</v>
      </c>
      <c r="E1773" s="166" t="s">
        <v>1107</v>
      </c>
      <c r="F1773" s="166">
        <v>739.46081739782858</v>
      </c>
    </row>
    <row r="1774" spans="1:6">
      <c r="A1774" s="403">
        <v>3360</v>
      </c>
      <c r="B1774" s="403">
        <v>15</v>
      </c>
      <c r="C1774" s="166">
        <v>2049</v>
      </c>
      <c r="D1774" s="166">
        <v>104</v>
      </c>
      <c r="E1774" s="166" t="s">
        <v>1107</v>
      </c>
      <c r="F1774" s="166">
        <v>739.46081739782858</v>
      </c>
    </row>
    <row r="1775" spans="1:6">
      <c r="A1775" s="403">
        <v>3361</v>
      </c>
      <c r="B1775" s="403">
        <v>15</v>
      </c>
      <c r="C1775" s="166">
        <v>2049</v>
      </c>
      <c r="D1775" s="166">
        <v>104</v>
      </c>
      <c r="E1775" s="166" t="s">
        <v>1107</v>
      </c>
      <c r="F1775" s="166">
        <v>739.46081739782858</v>
      </c>
    </row>
    <row r="1776" spans="1:6">
      <c r="A1776" s="403">
        <v>3363</v>
      </c>
      <c r="B1776" s="403">
        <v>17</v>
      </c>
      <c r="C1776" s="166">
        <v>1846</v>
      </c>
      <c r="D1776" s="166">
        <v>145</v>
      </c>
      <c r="E1776" s="166" t="s">
        <v>1107</v>
      </c>
      <c r="F1776" s="166">
        <v>179.06961105052642</v>
      </c>
    </row>
    <row r="1777" spans="1:6">
      <c r="A1777" s="403">
        <v>3364</v>
      </c>
      <c r="B1777" s="403">
        <v>17</v>
      </c>
      <c r="C1777" s="166">
        <v>1846</v>
      </c>
      <c r="D1777" s="166">
        <v>145</v>
      </c>
      <c r="E1777" s="166" t="s">
        <v>1107</v>
      </c>
      <c r="F1777" s="166">
        <v>179.06961105052642</v>
      </c>
    </row>
    <row r="1778" spans="1:6">
      <c r="A1778" s="403">
        <v>3370</v>
      </c>
      <c r="B1778" s="403">
        <v>17</v>
      </c>
      <c r="C1778" s="166">
        <v>1846</v>
      </c>
      <c r="D1778" s="166">
        <v>145</v>
      </c>
      <c r="E1778" s="166" t="s">
        <v>1107</v>
      </c>
      <c r="F1778" s="166">
        <v>179.06961105052642</v>
      </c>
    </row>
    <row r="1779" spans="1:6">
      <c r="A1779" s="403">
        <v>3371</v>
      </c>
      <c r="B1779" s="403">
        <v>17</v>
      </c>
      <c r="C1779" s="166">
        <v>1846</v>
      </c>
      <c r="D1779" s="166">
        <v>145</v>
      </c>
      <c r="E1779" s="166" t="s">
        <v>1107</v>
      </c>
      <c r="F1779" s="166">
        <v>179.06961105052642</v>
      </c>
    </row>
    <row r="1780" spans="1:6">
      <c r="A1780" s="403">
        <v>3373</v>
      </c>
      <c r="B1780" s="403">
        <v>16</v>
      </c>
      <c r="C1780" s="166">
        <v>1595</v>
      </c>
      <c r="D1780" s="166">
        <v>248</v>
      </c>
      <c r="E1780" s="166" t="s">
        <v>1107</v>
      </c>
      <c r="F1780" s="166">
        <v>1117.5294847775194</v>
      </c>
    </row>
    <row r="1781" spans="1:6">
      <c r="A1781" s="403">
        <v>3375</v>
      </c>
      <c r="B1781" s="403">
        <v>14</v>
      </c>
      <c r="C1781" s="166">
        <v>1610</v>
      </c>
      <c r="D1781" s="166">
        <v>120</v>
      </c>
      <c r="E1781" s="166" t="s">
        <v>1107</v>
      </c>
      <c r="F1781" s="166">
        <v>1003.2349311575726</v>
      </c>
    </row>
    <row r="1782" spans="1:6">
      <c r="A1782" s="403">
        <v>3377</v>
      </c>
      <c r="B1782" s="403">
        <v>14</v>
      </c>
      <c r="C1782" s="166">
        <v>1610</v>
      </c>
      <c r="D1782" s="166">
        <v>120</v>
      </c>
      <c r="E1782" s="166" t="s">
        <v>1107</v>
      </c>
      <c r="F1782" s="166">
        <v>1003.2349311575726</v>
      </c>
    </row>
    <row r="1783" spans="1:6">
      <c r="A1783" s="403">
        <v>3378</v>
      </c>
      <c r="B1783" s="403">
        <v>14</v>
      </c>
      <c r="C1783" s="166">
        <v>1610</v>
      </c>
      <c r="D1783" s="166">
        <v>120</v>
      </c>
      <c r="E1783" s="166" t="s">
        <v>1107</v>
      </c>
      <c r="F1783" s="166">
        <v>1003.2349311575726</v>
      </c>
    </row>
    <row r="1784" spans="1:6">
      <c r="A1784" s="403">
        <v>3379</v>
      </c>
      <c r="B1784" s="403">
        <v>15</v>
      </c>
      <c r="C1784" s="166">
        <v>2049</v>
      </c>
      <c r="D1784" s="166">
        <v>104</v>
      </c>
      <c r="E1784" s="166" t="s">
        <v>1107</v>
      </c>
      <c r="F1784" s="166">
        <v>739.46081739782858</v>
      </c>
    </row>
    <row r="1785" spans="1:6">
      <c r="A1785" s="403">
        <v>3380</v>
      </c>
      <c r="B1785" s="403">
        <v>14</v>
      </c>
      <c r="C1785" s="166">
        <v>1610</v>
      </c>
      <c r="D1785" s="166">
        <v>120</v>
      </c>
      <c r="E1785" s="166" t="s">
        <v>1107</v>
      </c>
      <c r="F1785" s="166">
        <v>1003.2349311575726</v>
      </c>
    </row>
    <row r="1786" spans="1:6">
      <c r="A1786" s="403">
        <v>3381</v>
      </c>
      <c r="B1786" s="403">
        <v>14</v>
      </c>
      <c r="C1786" s="166">
        <v>1610</v>
      </c>
      <c r="D1786" s="166">
        <v>120</v>
      </c>
      <c r="E1786" s="166" t="s">
        <v>1107</v>
      </c>
      <c r="F1786" s="166">
        <v>1003.2349311575726</v>
      </c>
    </row>
    <row r="1787" spans="1:6">
      <c r="A1787" s="403">
        <v>3384</v>
      </c>
      <c r="B1787" s="403">
        <v>14</v>
      </c>
      <c r="C1787" s="166">
        <v>1610</v>
      </c>
      <c r="D1787" s="166">
        <v>120</v>
      </c>
      <c r="E1787" s="166" t="s">
        <v>1107</v>
      </c>
      <c r="F1787" s="166">
        <v>1003.2349311575726</v>
      </c>
    </row>
    <row r="1788" spans="1:6">
      <c r="A1788" s="403">
        <v>3385</v>
      </c>
      <c r="B1788" s="403">
        <v>14</v>
      </c>
      <c r="C1788" s="166">
        <v>1610</v>
      </c>
      <c r="D1788" s="166">
        <v>120</v>
      </c>
      <c r="E1788" s="166" t="s">
        <v>1107</v>
      </c>
      <c r="F1788" s="166">
        <v>1003.2349311575726</v>
      </c>
    </row>
    <row r="1789" spans="1:6">
      <c r="A1789" s="403">
        <v>3387</v>
      </c>
      <c r="B1789" s="403">
        <v>14</v>
      </c>
      <c r="C1789" s="166">
        <v>1610</v>
      </c>
      <c r="D1789" s="166">
        <v>120</v>
      </c>
      <c r="E1789" s="166" t="s">
        <v>1107</v>
      </c>
      <c r="F1789" s="166">
        <v>1003.2349311575726</v>
      </c>
    </row>
    <row r="1790" spans="1:6">
      <c r="A1790" s="403">
        <v>3388</v>
      </c>
      <c r="B1790" s="403">
        <v>14</v>
      </c>
      <c r="C1790" s="166">
        <v>1610</v>
      </c>
      <c r="D1790" s="166">
        <v>120</v>
      </c>
      <c r="E1790" s="166" t="s">
        <v>1107</v>
      </c>
      <c r="F1790" s="166">
        <v>1003.2349311575726</v>
      </c>
    </row>
    <row r="1791" spans="1:6">
      <c r="A1791" s="403">
        <v>3390</v>
      </c>
      <c r="B1791" s="403">
        <v>14</v>
      </c>
      <c r="C1791" s="166">
        <v>1610</v>
      </c>
      <c r="D1791" s="166">
        <v>120</v>
      </c>
      <c r="E1791" s="166" t="s">
        <v>1107</v>
      </c>
      <c r="F1791" s="166">
        <v>1003.2349311575726</v>
      </c>
    </row>
    <row r="1792" spans="1:6">
      <c r="A1792" s="403">
        <v>3391</v>
      </c>
      <c r="B1792" s="403">
        <v>14</v>
      </c>
      <c r="C1792" s="166">
        <v>1610</v>
      </c>
      <c r="D1792" s="166">
        <v>120</v>
      </c>
      <c r="E1792" s="166" t="s">
        <v>1107</v>
      </c>
      <c r="F1792" s="166">
        <v>1003.2349311575726</v>
      </c>
    </row>
    <row r="1793" spans="1:6">
      <c r="A1793" s="403">
        <v>3392</v>
      </c>
      <c r="B1793" s="403">
        <v>14</v>
      </c>
      <c r="C1793" s="166">
        <v>1610</v>
      </c>
      <c r="D1793" s="166">
        <v>120</v>
      </c>
      <c r="E1793" s="166" t="s">
        <v>1107</v>
      </c>
      <c r="F1793" s="166">
        <v>1003.2349311575726</v>
      </c>
    </row>
    <row r="1794" spans="1:6">
      <c r="A1794" s="403">
        <v>3393</v>
      </c>
      <c r="B1794" s="403">
        <v>14</v>
      </c>
      <c r="C1794" s="166">
        <v>1610</v>
      </c>
      <c r="D1794" s="166">
        <v>120</v>
      </c>
      <c r="E1794" s="166" t="s">
        <v>1107</v>
      </c>
      <c r="F1794" s="166">
        <v>1003.2349311575726</v>
      </c>
    </row>
    <row r="1795" spans="1:6">
      <c r="A1795" s="403">
        <v>3395</v>
      </c>
      <c r="B1795" s="403">
        <v>13</v>
      </c>
      <c r="C1795" s="166">
        <v>1160</v>
      </c>
      <c r="D1795" s="166">
        <v>201</v>
      </c>
      <c r="E1795" s="166" t="s">
        <v>1107</v>
      </c>
      <c r="F1795" s="166">
        <v>1872.3395833333334</v>
      </c>
    </row>
    <row r="1796" spans="1:6">
      <c r="A1796" s="403">
        <v>3396</v>
      </c>
      <c r="B1796" s="403">
        <v>13</v>
      </c>
      <c r="C1796" s="166">
        <v>1160</v>
      </c>
      <c r="D1796" s="166">
        <v>201</v>
      </c>
      <c r="E1796" s="166" t="s">
        <v>1107</v>
      </c>
      <c r="F1796" s="166">
        <v>1872.3395833333334</v>
      </c>
    </row>
    <row r="1797" spans="1:6">
      <c r="A1797" s="403">
        <v>3399</v>
      </c>
      <c r="B1797" s="403">
        <v>14</v>
      </c>
      <c r="C1797" s="166">
        <v>1610</v>
      </c>
      <c r="D1797" s="166">
        <v>120</v>
      </c>
      <c r="E1797" s="166" t="s">
        <v>1107</v>
      </c>
      <c r="F1797" s="166">
        <v>1003.2349311575726</v>
      </c>
    </row>
    <row r="1798" spans="1:6">
      <c r="A1798" s="403">
        <v>3400</v>
      </c>
      <c r="B1798" s="403">
        <v>14</v>
      </c>
      <c r="C1798" s="166">
        <v>1610</v>
      </c>
      <c r="D1798" s="166">
        <v>120</v>
      </c>
      <c r="E1798" s="166" t="s">
        <v>1107</v>
      </c>
      <c r="F1798" s="166">
        <v>1003.2349311575726</v>
      </c>
    </row>
    <row r="1799" spans="1:6">
      <c r="A1799" s="403">
        <v>3401</v>
      </c>
      <c r="B1799" s="403">
        <v>14</v>
      </c>
      <c r="C1799" s="166">
        <v>1610</v>
      </c>
      <c r="D1799" s="166">
        <v>120</v>
      </c>
      <c r="E1799" s="166" t="s">
        <v>1107</v>
      </c>
      <c r="F1799" s="166">
        <v>1003.2349311575726</v>
      </c>
    </row>
    <row r="1800" spans="1:6">
      <c r="A1800" s="403">
        <v>3402</v>
      </c>
      <c r="B1800" s="403">
        <v>14</v>
      </c>
      <c r="C1800" s="166">
        <v>1610</v>
      </c>
      <c r="D1800" s="166">
        <v>120</v>
      </c>
      <c r="E1800" s="166" t="s">
        <v>1107</v>
      </c>
      <c r="F1800" s="166">
        <v>1003.2349311575726</v>
      </c>
    </row>
    <row r="1801" spans="1:6">
      <c r="A1801" s="403">
        <v>3407</v>
      </c>
      <c r="B1801" s="403">
        <v>15</v>
      </c>
      <c r="C1801" s="166">
        <v>2049</v>
      </c>
      <c r="D1801" s="166">
        <v>104</v>
      </c>
      <c r="E1801" s="166" t="s">
        <v>1107</v>
      </c>
      <c r="F1801" s="166">
        <v>739.46081739782858</v>
      </c>
    </row>
    <row r="1802" spans="1:6">
      <c r="A1802" s="403">
        <v>3409</v>
      </c>
      <c r="B1802" s="403">
        <v>14</v>
      </c>
      <c r="C1802" s="166">
        <v>1610</v>
      </c>
      <c r="D1802" s="166">
        <v>120</v>
      </c>
      <c r="E1802" s="166" t="s">
        <v>1107</v>
      </c>
      <c r="F1802" s="166">
        <v>1003.2349311575726</v>
      </c>
    </row>
    <row r="1803" spans="1:6">
      <c r="A1803" s="403">
        <v>3412</v>
      </c>
      <c r="B1803" s="403">
        <v>14</v>
      </c>
      <c r="C1803" s="166">
        <v>1610</v>
      </c>
      <c r="D1803" s="166">
        <v>120</v>
      </c>
      <c r="E1803" s="166" t="s">
        <v>1107</v>
      </c>
      <c r="F1803" s="166">
        <v>1003.2349311575726</v>
      </c>
    </row>
    <row r="1804" spans="1:6">
      <c r="A1804" s="403">
        <v>3413</v>
      </c>
      <c r="B1804" s="403">
        <v>14</v>
      </c>
      <c r="C1804" s="166">
        <v>1610</v>
      </c>
      <c r="D1804" s="166">
        <v>120</v>
      </c>
      <c r="E1804" s="166" t="s">
        <v>1107</v>
      </c>
      <c r="F1804" s="166">
        <v>1003.2349311575726</v>
      </c>
    </row>
    <row r="1805" spans="1:6">
      <c r="A1805" s="403">
        <v>3414</v>
      </c>
      <c r="B1805" s="403">
        <v>14</v>
      </c>
      <c r="C1805" s="166">
        <v>1610</v>
      </c>
      <c r="D1805" s="166">
        <v>120</v>
      </c>
      <c r="E1805" s="166" t="s">
        <v>1107</v>
      </c>
      <c r="F1805" s="166">
        <v>1003.2349311575726</v>
      </c>
    </row>
    <row r="1806" spans="1:6">
      <c r="A1806" s="403">
        <v>3415</v>
      </c>
      <c r="B1806" s="403">
        <v>14</v>
      </c>
      <c r="C1806" s="166">
        <v>1610</v>
      </c>
      <c r="D1806" s="166">
        <v>120</v>
      </c>
      <c r="E1806" s="166" t="s">
        <v>1107</v>
      </c>
      <c r="F1806" s="166">
        <v>1003.2349311575726</v>
      </c>
    </row>
    <row r="1807" spans="1:6">
      <c r="A1807" s="403">
        <v>3418</v>
      </c>
      <c r="B1807" s="403">
        <v>14</v>
      </c>
      <c r="C1807" s="166">
        <v>1610</v>
      </c>
      <c r="D1807" s="166">
        <v>120</v>
      </c>
      <c r="E1807" s="166" t="s">
        <v>1107</v>
      </c>
      <c r="F1807" s="166">
        <v>1003.2349311575726</v>
      </c>
    </row>
    <row r="1808" spans="1:6">
      <c r="A1808" s="403">
        <v>3419</v>
      </c>
      <c r="B1808" s="403">
        <v>14</v>
      </c>
      <c r="C1808" s="166">
        <v>1610</v>
      </c>
      <c r="D1808" s="166">
        <v>120</v>
      </c>
      <c r="E1808" s="166" t="s">
        <v>1107</v>
      </c>
      <c r="F1808" s="166">
        <v>1003.2349311575726</v>
      </c>
    </row>
    <row r="1809" spans="1:6">
      <c r="A1809" s="403">
        <v>3420</v>
      </c>
      <c r="B1809" s="403">
        <v>14</v>
      </c>
      <c r="C1809" s="166">
        <v>1610</v>
      </c>
      <c r="D1809" s="166">
        <v>120</v>
      </c>
      <c r="E1809" s="166" t="s">
        <v>1107</v>
      </c>
      <c r="F1809" s="166">
        <v>1003.2349311575726</v>
      </c>
    </row>
    <row r="1810" spans="1:6">
      <c r="A1810" s="403">
        <v>3422</v>
      </c>
      <c r="B1810" s="403">
        <v>13</v>
      </c>
      <c r="C1810" s="166">
        <v>1160</v>
      </c>
      <c r="D1810" s="166">
        <v>201</v>
      </c>
      <c r="E1810" s="166" t="s">
        <v>1107</v>
      </c>
      <c r="F1810" s="166">
        <v>1872.3395833333334</v>
      </c>
    </row>
    <row r="1811" spans="1:6">
      <c r="A1811" s="403">
        <v>3423</v>
      </c>
      <c r="B1811" s="403">
        <v>14</v>
      </c>
      <c r="C1811" s="166">
        <v>1610</v>
      </c>
      <c r="D1811" s="166">
        <v>120</v>
      </c>
      <c r="E1811" s="166" t="s">
        <v>1107</v>
      </c>
      <c r="F1811" s="166">
        <v>1003.2349311575726</v>
      </c>
    </row>
    <row r="1812" spans="1:6">
      <c r="A1812" s="403">
        <v>3424</v>
      </c>
      <c r="B1812" s="403">
        <v>13</v>
      </c>
      <c r="C1812" s="166">
        <v>1160</v>
      </c>
      <c r="D1812" s="166">
        <v>201</v>
      </c>
      <c r="E1812" s="166" t="s">
        <v>1107</v>
      </c>
      <c r="F1812" s="166">
        <v>1872.3395833333334</v>
      </c>
    </row>
    <row r="1813" spans="1:6">
      <c r="A1813" s="403">
        <v>3427</v>
      </c>
      <c r="B1813" s="403">
        <v>18</v>
      </c>
      <c r="C1813" s="166">
        <v>1590</v>
      </c>
      <c r="D1813" s="166">
        <v>100</v>
      </c>
      <c r="E1813" s="166" t="s">
        <v>1107</v>
      </c>
      <c r="F1813" s="166">
        <v>769.37262842144253</v>
      </c>
    </row>
    <row r="1814" spans="1:6">
      <c r="A1814" s="403">
        <v>3428</v>
      </c>
      <c r="B1814" s="403">
        <v>18</v>
      </c>
      <c r="C1814" s="166">
        <v>1590</v>
      </c>
      <c r="D1814" s="166">
        <v>100</v>
      </c>
      <c r="E1814" s="166" t="s">
        <v>1107</v>
      </c>
      <c r="F1814" s="166">
        <v>769.37262842144253</v>
      </c>
    </row>
    <row r="1815" spans="1:6">
      <c r="A1815" s="403">
        <v>3429</v>
      </c>
      <c r="B1815" s="403">
        <v>18</v>
      </c>
      <c r="C1815" s="166">
        <v>1590</v>
      </c>
      <c r="D1815" s="166">
        <v>100</v>
      </c>
      <c r="E1815" s="166" t="s">
        <v>1107</v>
      </c>
      <c r="F1815" s="166">
        <v>769.37262842144253</v>
      </c>
    </row>
    <row r="1816" spans="1:6">
      <c r="A1816" s="403">
        <v>3430</v>
      </c>
      <c r="B1816" s="403">
        <v>18</v>
      </c>
      <c r="C1816" s="166">
        <v>1590</v>
      </c>
      <c r="D1816" s="166">
        <v>100</v>
      </c>
      <c r="E1816" s="166" t="s">
        <v>1107</v>
      </c>
      <c r="F1816" s="166">
        <v>769.37262842144253</v>
      </c>
    </row>
    <row r="1817" spans="1:6">
      <c r="A1817" s="403">
        <v>3431</v>
      </c>
      <c r="B1817" s="403">
        <v>17</v>
      </c>
      <c r="C1817" s="166">
        <v>1846</v>
      </c>
      <c r="D1817" s="166">
        <v>145</v>
      </c>
      <c r="E1817" s="166" t="s">
        <v>1107</v>
      </c>
      <c r="F1817" s="166">
        <v>179.06961105052642</v>
      </c>
    </row>
    <row r="1818" spans="1:6">
      <c r="A1818" s="403">
        <v>3432</v>
      </c>
      <c r="B1818" s="403">
        <v>17</v>
      </c>
      <c r="C1818" s="166">
        <v>1846</v>
      </c>
      <c r="D1818" s="166">
        <v>145</v>
      </c>
      <c r="E1818" s="166" t="s">
        <v>1107</v>
      </c>
      <c r="F1818" s="166">
        <v>179.06961105052642</v>
      </c>
    </row>
    <row r="1819" spans="1:6">
      <c r="A1819" s="403">
        <v>3433</v>
      </c>
      <c r="B1819" s="403">
        <v>17</v>
      </c>
      <c r="C1819" s="166">
        <v>1846</v>
      </c>
      <c r="D1819" s="166">
        <v>145</v>
      </c>
      <c r="E1819" s="166" t="s">
        <v>1107</v>
      </c>
      <c r="F1819" s="166">
        <v>179.06961105052642</v>
      </c>
    </row>
    <row r="1820" spans="1:6">
      <c r="A1820" s="403">
        <v>3434</v>
      </c>
      <c r="B1820" s="403">
        <v>17</v>
      </c>
      <c r="C1820" s="166">
        <v>1846</v>
      </c>
      <c r="D1820" s="166">
        <v>145</v>
      </c>
      <c r="E1820" s="166" t="s">
        <v>1107</v>
      </c>
      <c r="F1820" s="166">
        <v>179.06961105052642</v>
      </c>
    </row>
    <row r="1821" spans="1:6">
      <c r="A1821" s="403">
        <v>3435</v>
      </c>
      <c r="B1821" s="403">
        <v>17</v>
      </c>
      <c r="C1821" s="166">
        <v>1846</v>
      </c>
      <c r="D1821" s="166">
        <v>145</v>
      </c>
      <c r="E1821" s="166" t="s">
        <v>1107</v>
      </c>
      <c r="F1821" s="166">
        <v>179.06961105052642</v>
      </c>
    </row>
    <row r="1822" spans="1:6">
      <c r="A1822" s="403">
        <v>3437</v>
      </c>
      <c r="B1822" s="403">
        <v>17</v>
      </c>
      <c r="C1822" s="166">
        <v>1846</v>
      </c>
      <c r="D1822" s="166">
        <v>145</v>
      </c>
      <c r="E1822" s="166" t="s">
        <v>1107</v>
      </c>
      <c r="F1822" s="166">
        <v>179.06961105052642</v>
      </c>
    </row>
    <row r="1823" spans="1:6">
      <c r="A1823" s="403">
        <v>3438</v>
      </c>
      <c r="B1823" s="403">
        <v>17</v>
      </c>
      <c r="C1823" s="166">
        <v>1846</v>
      </c>
      <c r="D1823" s="166">
        <v>145</v>
      </c>
      <c r="E1823" s="166" t="s">
        <v>1107</v>
      </c>
      <c r="F1823" s="166">
        <v>179.06961105052642</v>
      </c>
    </row>
    <row r="1824" spans="1:6">
      <c r="A1824" s="403">
        <v>3440</v>
      </c>
      <c r="B1824" s="403">
        <v>17</v>
      </c>
      <c r="C1824" s="166">
        <v>1846</v>
      </c>
      <c r="D1824" s="166">
        <v>145</v>
      </c>
      <c r="E1824" s="166" t="s">
        <v>1107</v>
      </c>
      <c r="F1824" s="166">
        <v>179.06961105052642</v>
      </c>
    </row>
    <row r="1825" spans="1:6">
      <c r="A1825" s="403">
        <v>3441</v>
      </c>
      <c r="B1825" s="403">
        <v>17</v>
      </c>
      <c r="C1825" s="166">
        <v>1846</v>
      </c>
      <c r="D1825" s="166">
        <v>145</v>
      </c>
      <c r="E1825" s="166" t="s">
        <v>1107</v>
      </c>
      <c r="F1825" s="166">
        <v>179.06961105052642</v>
      </c>
    </row>
    <row r="1826" spans="1:6">
      <c r="A1826" s="403">
        <v>3442</v>
      </c>
      <c r="B1826" s="403">
        <v>17</v>
      </c>
      <c r="C1826" s="166">
        <v>1846</v>
      </c>
      <c r="D1826" s="166">
        <v>145</v>
      </c>
      <c r="E1826" s="166" t="s">
        <v>1107</v>
      </c>
      <c r="F1826" s="166">
        <v>179.06961105052642</v>
      </c>
    </row>
    <row r="1827" spans="1:6">
      <c r="A1827" s="403">
        <v>3444</v>
      </c>
      <c r="B1827" s="403">
        <v>17</v>
      </c>
      <c r="C1827" s="166">
        <v>1846</v>
      </c>
      <c r="D1827" s="166">
        <v>145</v>
      </c>
      <c r="E1827" s="166" t="s">
        <v>1107</v>
      </c>
      <c r="F1827" s="166">
        <v>179.06961105052642</v>
      </c>
    </row>
    <row r="1828" spans="1:6">
      <c r="A1828" s="403">
        <v>3446</v>
      </c>
      <c r="B1828" s="403">
        <v>17</v>
      </c>
      <c r="C1828" s="166">
        <v>1846</v>
      </c>
      <c r="D1828" s="166">
        <v>145</v>
      </c>
      <c r="E1828" s="166" t="s">
        <v>1107</v>
      </c>
      <c r="F1828" s="166">
        <v>179.06961105052642</v>
      </c>
    </row>
    <row r="1829" spans="1:6">
      <c r="A1829" s="403">
        <v>3447</v>
      </c>
      <c r="B1829" s="403">
        <v>17</v>
      </c>
      <c r="C1829" s="166">
        <v>1846</v>
      </c>
      <c r="D1829" s="166">
        <v>145</v>
      </c>
      <c r="E1829" s="166" t="s">
        <v>1107</v>
      </c>
      <c r="F1829" s="166">
        <v>179.06961105052642</v>
      </c>
    </row>
    <row r="1830" spans="1:6">
      <c r="A1830" s="403">
        <v>3448</v>
      </c>
      <c r="B1830" s="403">
        <v>17</v>
      </c>
      <c r="C1830" s="166">
        <v>1846</v>
      </c>
      <c r="D1830" s="166">
        <v>145</v>
      </c>
      <c r="E1830" s="166" t="s">
        <v>1107</v>
      </c>
      <c r="F1830" s="166">
        <v>179.06961105052642</v>
      </c>
    </row>
    <row r="1831" spans="1:6">
      <c r="A1831" s="403">
        <v>3450</v>
      </c>
      <c r="B1831" s="403">
        <v>17</v>
      </c>
      <c r="C1831" s="166">
        <v>1846</v>
      </c>
      <c r="D1831" s="166">
        <v>145</v>
      </c>
      <c r="E1831" s="166" t="s">
        <v>1107</v>
      </c>
      <c r="F1831" s="166">
        <v>179.06961105052642</v>
      </c>
    </row>
    <row r="1832" spans="1:6">
      <c r="A1832" s="403">
        <v>3451</v>
      </c>
      <c r="B1832" s="403">
        <v>17</v>
      </c>
      <c r="C1832" s="166">
        <v>1846</v>
      </c>
      <c r="D1832" s="166">
        <v>145</v>
      </c>
      <c r="E1832" s="166" t="s">
        <v>1107</v>
      </c>
      <c r="F1832" s="166">
        <v>179.06961105052642</v>
      </c>
    </row>
    <row r="1833" spans="1:6">
      <c r="A1833" s="403">
        <v>3453</v>
      </c>
      <c r="B1833" s="403">
        <v>17</v>
      </c>
      <c r="C1833" s="166">
        <v>1846</v>
      </c>
      <c r="D1833" s="166">
        <v>145</v>
      </c>
      <c r="E1833" s="166" t="s">
        <v>1107</v>
      </c>
      <c r="F1833" s="166">
        <v>179.06961105052642</v>
      </c>
    </row>
    <row r="1834" spans="1:6">
      <c r="A1834" s="403">
        <v>3458</v>
      </c>
      <c r="B1834" s="403">
        <v>17</v>
      </c>
      <c r="C1834" s="166">
        <v>1846</v>
      </c>
      <c r="D1834" s="166">
        <v>145</v>
      </c>
      <c r="E1834" s="166" t="s">
        <v>1107</v>
      </c>
      <c r="F1834" s="166">
        <v>179.06961105052642</v>
      </c>
    </row>
    <row r="1835" spans="1:6">
      <c r="A1835" s="403">
        <v>3460</v>
      </c>
      <c r="B1835" s="403">
        <v>17</v>
      </c>
      <c r="C1835" s="166">
        <v>1846</v>
      </c>
      <c r="D1835" s="166">
        <v>145</v>
      </c>
      <c r="E1835" s="166" t="s">
        <v>1107</v>
      </c>
      <c r="F1835" s="166">
        <v>179.06961105052642</v>
      </c>
    </row>
    <row r="1836" spans="1:6">
      <c r="A1836" s="403">
        <v>3461</v>
      </c>
      <c r="B1836" s="403">
        <v>17</v>
      </c>
      <c r="C1836" s="166">
        <v>1846</v>
      </c>
      <c r="D1836" s="166">
        <v>145</v>
      </c>
      <c r="E1836" s="166" t="s">
        <v>1107</v>
      </c>
      <c r="F1836" s="166">
        <v>179.06961105052642</v>
      </c>
    </row>
    <row r="1837" spans="1:6">
      <c r="A1837" s="403">
        <v>3462</v>
      </c>
      <c r="B1837" s="403">
        <v>17</v>
      </c>
      <c r="C1837" s="166">
        <v>1846</v>
      </c>
      <c r="D1837" s="166">
        <v>145</v>
      </c>
      <c r="E1837" s="166" t="s">
        <v>1107</v>
      </c>
      <c r="F1837" s="166">
        <v>179.06961105052642</v>
      </c>
    </row>
    <row r="1838" spans="1:6">
      <c r="A1838" s="403">
        <v>3463</v>
      </c>
      <c r="B1838" s="403">
        <v>17</v>
      </c>
      <c r="C1838" s="166">
        <v>1846</v>
      </c>
      <c r="D1838" s="166">
        <v>145</v>
      </c>
      <c r="E1838" s="166" t="s">
        <v>1107</v>
      </c>
      <c r="F1838" s="166">
        <v>179.06961105052642</v>
      </c>
    </row>
    <row r="1839" spans="1:6">
      <c r="A1839" s="403">
        <v>3464</v>
      </c>
      <c r="B1839" s="403">
        <v>17</v>
      </c>
      <c r="C1839" s="166">
        <v>1846</v>
      </c>
      <c r="D1839" s="166">
        <v>145</v>
      </c>
      <c r="E1839" s="166" t="s">
        <v>1107</v>
      </c>
      <c r="F1839" s="166">
        <v>179.06961105052642</v>
      </c>
    </row>
    <row r="1840" spans="1:6">
      <c r="A1840" s="403">
        <v>3465</v>
      </c>
      <c r="B1840" s="403">
        <v>17</v>
      </c>
      <c r="C1840" s="166">
        <v>1846</v>
      </c>
      <c r="D1840" s="166">
        <v>145</v>
      </c>
      <c r="E1840" s="166" t="s">
        <v>1107</v>
      </c>
      <c r="F1840" s="166">
        <v>179.06961105052642</v>
      </c>
    </row>
    <row r="1841" spans="1:6">
      <c r="A1841" s="403">
        <v>3467</v>
      </c>
      <c r="B1841" s="403">
        <v>17</v>
      </c>
      <c r="C1841" s="166">
        <v>1846</v>
      </c>
      <c r="D1841" s="166">
        <v>145</v>
      </c>
      <c r="E1841" s="166" t="s">
        <v>1107</v>
      </c>
      <c r="F1841" s="166">
        <v>179.06961105052642</v>
      </c>
    </row>
    <row r="1842" spans="1:6">
      <c r="A1842" s="403">
        <v>3468</v>
      </c>
      <c r="B1842" s="403">
        <v>16</v>
      </c>
      <c r="C1842" s="166">
        <v>1595</v>
      </c>
      <c r="D1842" s="166">
        <v>248</v>
      </c>
      <c r="E1842" s="166" t="s">
        <v>1107</v>
      </c>
      <c r="F1842" s="166">
        <v>1117.5294847775194</v>
      </c>
    </row>
    <row r="1843" spans="1:6">
      <c r="A1843" s="403">
        <v>3469</v>
      </c>
      <c r="B1843" s="403">
        <v>14</v>
      </c>
      <c r="C1843" s="166">
        <v>1610</v>
      </c>
      <c r="D1843" s="166">
        <v>120</v>
      </c>
      <c r="E1843" s="166" t="s">
        <v>1107</v>
      </c>
      <c r="F1843" s="166">
        <v>1003.2349311575726</v>
      </c>
    </row>
    <row r="1844" spans="1:6">
      <c r="A1844" s="403">
        <v>3472</v>
      </c>
      <c r="B1844" s="403">
        <v>16</v>
      </c>
      <c r="C1844" s="166">
        <v>1595</v>
      </c>
      <c r="D1844" s="166">
        <v>248</v>
      </c>
      <c r="E1844" s="166" t="s">
        <v>1107</v>
      </c>
      <c r="F1844" s="166">
        <v>1117.5294847775194</v>
      </c>
    </row>
    <row r="1845" spans="1:6">
      <c r="A1845" s="403">
        <v>3475</v>
      </c>
      <c r="B1845" s="403">
        <v>16</v>
      </c>
      <c r="C1845" s="166">
        <v>1595</v>
      </c>
      <c r="D1845" s="166">
        <v>248</v>
      </c>
      <c r="E1845" s="166" t="s">
        <v>1107</v>
      </c>
      <c r="F1845" s="166">
        <v>1117.5294847775194</v>
      </c>
    </row>
    <row r="1846" spans="1:6">
      <c r="A1846" s="403">
        <v>3478</v>
      </c>
      <c r="B1846" s="403">
        <v>14</v>
      </c>
      <c r="C1846" s="166">
        <v>1610</v>
      </c>
      <c r="D1846" s="166">
        <v>120</v>
      </c>
      <c r="E1846" s="166" t="s">
        <v>1107</v>
      </c>
      <c r="F1846" s="166">
        <v>1003.2349311575726</v>
      </c>
    </row>
    <row r="1847" spans="1:6">
      <c r="A1847" s="403">
        <v>3480</v>
      </c>
      <c r="B1847" s="403">
        <v>14</v>
      </c>
      <c r="C1847" s="166">
        <v>1610</v>
      </c>
      <c r="D1847" s="166">
        <v>120</v>
      </c>
      <c r="E1847" s="166" t="s">
        <v>1107</v>
      </c>
      <c r="F1847" s="166">
        <v>1003.2349311575726</v>
      </c>
    </row>
    <row r="1848" spans="1:6">
      <c r="A1848" s="403">
        <v>3482</v>
      </c>
      <c r="B1848" s="403">
        <v>14</v>
      </c>
      <c r="C1848" s="166">
        <v>1610</v>
      </c>
      <c r="D1848" s="166">
        <v>120</v>
      </c>
      <c r="E1848" s="166" t="s">
        <v>1107</v>
      </c>
      <c r="F1848" s="166">
        <v>1003.2349311575726</v>
      </c>
    </row>
    <row r="1849" spans="1:6">
      <c r="A1849" s="403">
        <v>3483</v>
      </c>
      <c r="B1849" s="403">
        <v>13</v>
      </c>
      <c r="C1849" s="166">
        <v>1160</v>
      </c>
      <c r="D1849" s="166">
        <v>201</v>
      </c>
      <c r="E1849" s="166" t="s">
        <v>1107</v>
      </c>
      <c r="F1849" s="166">
        <v>1872.3395833333334</v>
      </c>
    </row>
    <row r="1850" spans="1:6">
      <c r="A1850" s="403">
        <v>3485</v>
      </c>
      <c r="B1850" s="403">
        <v>13</v>
      </c>
      <c r="C1850" s="166">
        <v>1160</v>
      </c>
      <c r="D1850" s="166">
        <v>201</v>
      </c>
      <c r="E1850" s="166" t="s">
        <v>1107</v>
      </c>
      <c r="F1850" s="166">
        <v>1872.3395833333334</v>
      </c>
    </row>
    <row r="1851" spans="1:6">
      <c r="A1851" s="403">
        <v>3487</v>
      </c>
      <c r="B1851" s="403">
        <v>13</v>
      </c>
      <c r="C1851" s="166">
        <v>1160</v>
      </c>
      <c r="D1851" s="166">
        <v>201</v>
      </c>
      <c r="E1851" s="166" t="s">
        <v>1107</v>
      </c>
      <c r="F1851" s="166">
        <v>1872.3395833333334</v>
      </c>
    </row>
    <row r="1852" spans="1:6">
      <c r="A1852" s="403">
        <v>3488</v>
      </c>
      <c r="B1852" s="403">
        <v>13</v>
      </c>
      <c r="C1852" s="166">
        <v>1160</v>
      </c>
      <c r="D1852" s="166">
        <v>201</v>
      </c>
      <c r="E1852" s="166" t="s">
        <v>1107</v>
      </c>
      <c r="F1852" s="166">
        <v>1872.3395833333334</v>
      </c>
    </row>
    <row r="1853" spans="1:6">
      <c r="A1853" s="403">
        <v>3489</v>
      </c>
      <c r="B1853" s="403">
        <v>13</v>
      </c>
      <c r="C1853" s="166">
        <v>1160</v>
      </c>
      <c r="D1853" s="166">
        <v>201</v>
      </c>
      <c r="E1853" s="166" t="s">
        <v>1107</v>
      </c>
      <c r="F1853" s="166">
        <v>1872.3395833333334</v>
      </c>
    </row>
    <row r="1854" spans="1:6">
      <c r="A1854" s="403">
        <v>3490</v>
      </c>
      <c r="B1854" s="403">
        <v>13</v>
      </c>
      <c r="C1854" s="166">
        <v>1160</v>
      </c>
      <c r="D1854" s="166">
        <v>201</v>
      </c>
      <c r="E1854" s="166" t="s">
        <v>1107</v>
      </c>
      <c r="F1854" s="166">
        <v>1872.3395833333334</v>
      </c>
    </row>
    <row r="1855" spans="1:6">
      <c r="A1855" s="403">
        <v>3491</v>
      </c>
      <c r="B1855" s="403">
        <v>13</v>
      </c>
      <c r="C1855" s="166">
        <v>1160</v>
      </c>
      <c r="D1855" s="166">
        <v>201</v>
      </c>
      <c r="E1855" s="166" t="s">
        <v>1107</v>
      </c>
      <c r="F1855" s="166">
        <v>1872.3395833333334</v>
      </c>
    </row>
    <row r="1856" spans="1:6">
      <c r="A1856" s="403">
        <v>3494</v>
      </c>
      <c r="B1856" s="403">
        <v>13</v>
      </c>
      <c r="C1856" s="166">
        <v>1160</v>
      </c>
      <c r="D1856" s="166">
        <v>201</v>
      </c>
      <c r="E1856" s="166" t="s">
        <v>1107</v>
      </c>
      <c r="F1856" s="166">
        <v>1872.3395833333334</v>
      </c>
    </row>
    <row r="1857" spans="1:6">
      <c r="A1857" s="403">
        <v>3496</v>
      </c>
      <c r="B1857" s="403">
        <v>13</v>
      </c>
      <c r="C1857" s="166">
        <v>1160</v>
      </c>
      <c r="D1857" s="166">
        <v>201</v>
      </c>
      <c r="E1857" s="166" t="s">
        <v>1107</v>
      </c>
      <c r="F1857" s="166">
        <v>1872.3395833333334</v>
      </c>
    </row>
    <row r="1858" spans="1:6">
      <c r="A1858" s="403">
        <v>3498</v>
      </c>
      <c r="B1858" s="403">
        <v>13</v>
      </c>
      <c r="C1858" s="166">
        <v>1160</v>
      </c>
      <c r="D1858" s="166">
        <v>201</v>
      </c>
      <c r="E1858" s="166" t="s">
        <v>1107</v>
      </c>
      <c r="F1858" s="166">
        <v>1872.3395833333334</v>
      </c>
    </row>
    <row r="1859" spans="1:6">
      <c r="A1859" s="403">
        <v>3500</v>
      </c>
      <c r="B1859" s="403">
        <v>13</v>
      </c>
      <c r="C1859" s="166">
        <v>1160</v>
      </c>
      <c r="D1859" s="166">
        <v>201</v>
      </c>
      <c r="E1859" s="166" t="s">
        <v>1107</v>
      </c>
      <c r="F1859" s="166">
        <v>1872.3395833333334</v>
      </c>
    </row>
    <row r="1860" spans="1:6">
      <c r="A1860" s="403">
        <v>3501</v>
      </c>
      <c r="B1860" s="403">
        <v>13</v>
      </c>
      <c r="C1860" s="166">
        <v>1160</v>
      </c>
      <c r="D1860" s="166">
        <v>201</v>
      </c>
      <c r="E1860" s="166" t="s">
        <v>1107</v>
      </c>
      <c r="F1860" s="166">
        <v>1872.3395833333334</v>
      </c>
    </row>
    <row r="1861" spans="1:6">
      <c r="A1861" s="403">
        <v>3502</v>
      </c>
      <c r="B1861" s="403">
        <v>13</v>
      </c>
      <c r="C1861" s="166">
        <v>1160</v>
      </c>
      <c r="D1861" s="166">
        <v>201</v>
      </c>
      <c r="E1861" s="166" t="s">
        <v>1107</v>
      </c>
      <c r="F1861" s="166">
        <v>1872.3395833333334</v>
      </c>
    </row>
    <row r="1862" spans="1:6">
      <c r="A1862" s="403">
        <v>3505</v>
      </c>
      <c r="B1862" s="403">
        <v>13</v>
      </c>
      <c r="C1862" s="166">
        <v>1160</v>
      </c>
      <c r="D1862" s="166">
        <v>201</v>
      </c>
      <c r="E1862" s="166" t="s">
        <v>1107</v>
      </c>
      <c r="F1862" s="166">
        <v>1872.3395833333334</v>
      </c>
    </row>
    <row r="1863" spans="1:6">
      <c r="A1863" s="403">
        <v>3506</v>
      </c>
      <c r="B1863" s="403">
        <v>13</v>
      </c>
      <c r="C1863" s="166">
        <v>1160</v>
      </c>
      <c r="D1863" s="166">
        <v>201</v>
      </c>
      <c r="E1863" s="166" t="s">
        <v>1107</v>
      </c>
      <c r="F1863" s="166">
        <v>1872.3395833333334</v>
      </c>
    </row>
    <row r="1864" spans="1:6">
      <c r="A1864" s="403">
        <v>3507</v>
      </c>
      <c r="B1864" s="403">
        <v>13</v>
      </c>
      <c r="C1864" s="166">
        <v>1160</v>
      </c>
      <c r="D1864" s="166">
        <v>201</v>
      </c>
      <c r="E1864" s="166" t="s">
        <v>1107</v>
      </c>
      <c r="F1864" s="166">
        <v>1872.3395833333334</v>
      </c>
    </row>
    <row r="1865" spans="1:6">
      <c r="A1865" s="403">
        <v>3509</v>
      </c>
      <c r="B1865" s="403">
        <v>13</v>
      </c>
      <c r="C1865" s="166">
        <v>1160</v>
      </c>
      <c r="D1865" s="166">
        <v>201</v>
      </c>
      <c r="E1865" s="166" t="s">
        <v>1107</v>
      </c>
      <c r="F1865" s="166">
        <v>1872.3395833333334</v>
      </c>
    </row>
    <row r="1866" spans="1:6">
      <c r="A1866" s="403">
        <v>3512</v>
      </c>
      <c r="B1866" s="403">
        <v>13</v>
      </c>
      <c r="C1866" s="166">
        <v>1160</v>
      </c>
      <c r="D1866" s="166">
        <v>201</v>
      </c>
      <c r="E1866" s="166" t="s">
        <v>1107</v>
      </c>
      <c r="F1866" s="166">
        <v>1872.3395833333334</v>
      </c>
    </row>
    <row r="1867" spans="1:6">
      <c r="A1867" s="403">
        <v>3515</v>
      </c>
      <c r="B1867" s="403">
        <v>16</v>
      </c>
      <c r="C1867" s="166">
        <v>1595</v>
      </c>
      <c r="D1867" s="166">
        <v>248</v>
      </c>
      <c r="E1867" s="166" t="s">
        <v>1107</v>
      </c>
      <c r="F1867" s="166">
        <v>1117.5294847775194</v>
      </c>
    </row>
    <row r="1868" spans="1:6">
      <c r="A1868" s="403">
        <v>3516</v>
      </c>
      <c r="B1868" s="403">
        <v>16</v>
      </c>
      <c r="C1868" s="166">
        <v>1595</v>
      </c>
      <c r="D1868" s="166">
        <v>248</v>
      </c>
      <c r="E1868" s="166" t="s">
        <v>1107</v>
      </c>
      <c r="F1868" s="166">
        <v>1117.5294847775194</v>
      </c>
    </row>
    <row r="1869" spans="1:6">
      <c r="A1869" s="403">
        <v>3517</v>
      </c>
      <c r="B1869" s="403">
        <v>16</v>
      </c>
      <c r="C1869" s="166">
        <v>1595</v>
      </c>
      <c r="D1869" s="166">
        <v>248</v>
      </c>
      <c r="E1869" s="166" t="s">
        <v>1107</v>
      </c>
      <c r="F1869" s="166">
        <v>1117.5294847775194</v>
      </c>
    </row>
    <row r="1870" spans="1:6">
      <c r="A1870" s="403">
        <v>3518</v>
      </c>
      <c r="B1870" s="403">
        <v>16</v>
      </c>
      <c r="C1870" s="166">
        <v>1595</v>
      </c>
      <c r="D1870" s="166">
        <v>248</v>
      </c>
      <c r="E1870" s="166" t="s">
        <v>1107</v>
      </c>
      <c r="F1870" s="166">
        <v>1117.5294847775194</v>
      </c>
    </row>
    <row r="1871" spans="1:6">
      <c r="A1871" s="403">
        <v>3520</v>
      </c>
      <c r="B1871" s="403">
        <v>16</v>
      </c>
      <c r="C1871" s="166">
        <v>1595</v>
      </c>
      <c r="D1871" s="166">
        <v>248</v>
      </c>
      <c r="E1871" s="166" t="s">
        <v>1107</v>
      </c>
      <c r="F1871" s="166">
        <v>1117.5294847775194</v>
      </c>
    </row>
    <row r="1872" spans="1:6">
      <c r="A1872" s="403">
        <v>3521</v>
      </c>
      <c r="B1872" s="403">
        <v>17</v>
      </c>
      <c r="C1872" s="166">
        <v>1846</v>
      </c>
      <c r="D1872" s="166">
        <v>145</v>
      </c>
      <c r="E1872" s="166" t="s">
        <v>1107</v>
      </c>
      <c r="F1872" s="166">
        <v>179.06961105052642</v>
      </c>
    </row>
    <row r="1873" spans="1:6">
      <c r="A1873" s="403">
        <v>3522</v>
      </c>
      <c r="B1873" s="403">
        <v>17</v>
      </c>
      <c r="C1873" s="166">
        <v>1846</v>
      </c>
      <c r="D1873" s="166">
        <v>145</v>
      </c>
      <c r="E1873" s="166" t="s">
        <v>1107</v>
      </c>
      <c r="F1873" s="166">
        <v>179.06961105052642</v>
      </c>
    </row>
    <row r="1874" spans="1:6">
      <c r="A1874" s="403">
        <v>3523</v>
      </c>
      <c r="B1874" s="403">
        <v>17</v>
      </c>
      <c r="C1874" s="166">
        <v>1846</v>
      </c>
      <c r="D1874" s="166">
        <v>145</v>
      </c>
      <c r="E1874" s="166" t="s">
        <v>1107</v>
      </c>
      <c r="F1874" s="166">
        <v>179.06961105052642</v>
      </c>
    </row>
    <row r="1875" spans="1:6">
      <c r="A1875" s="403">
        <v>3525</v>
      </c>
      <c r="B1875" s="403">
        <v>17</v>
      </c>
      <c r="C1875" s="166">
        <v>1846</v>
      </c>
      <c r="D1875" s="166">
        <v>145</v>
      </c>
      <c r="E1875" s="166" t="s">
        <v>1107</v>
      </c>
      <c r="F1875" s="166">
        <v>179.06961105052642</v>
      </c>
    </row>
    <row r="1876" spans="1:6">
      <c r="A1876" s="403">
        <v>3527</v>
      </c>
      <c r="B1876" s="403">
        <v>14</v>
      </c>
      <c r="C1876" s="166">
        <v>1610</v>
      </c>
      <c r="D1876" s="166">
        <v>120</v>
      </c>
      <c r="E1876" s="166" t="s">
        <v>1107</v>
      </c>
      <c r="F1876" s="166">
        <v>1003.2349311575726</v>
      </c>
    </row>
    <row r="1877" spans="1:6">
      <c r="A1877" s="403">
        <v>3529</v>
      </c>
      <c r="B1877" s="403">
        <v>13</v>
      </c>
      <c r="C1877" s="166">
        <v>1160</v>
      </c>
      <c r="D1877" s="166">
        <v>201</v>
      </c>
      <c r="E1877" s="166" t="s">
        <v>1107</v>
      </c>
      <c r="F1877" s="166">
        <v>1872.3395833333334</v>
      </c>
    </row>
    <row r="1878" spans="1:6">
      <c r="A1878" s="403">
        <v>3530</v>
      </c>
      <c r="B1878" s="403">
        <v>13</v>
      </c>
      <c r="C1878" s="166">
        <v>1160</v>
      </c>
      <c r="D1878" s="166">
        <v>201</v>
      </c>
      <c r="E1878" s="166" t="s">
        <v>1107</v>
      </c>
      <c r="F1878" s="166">
        <v>1872.3395833333334</v>
      </c>
    </row>
    <row r="1879" spans="1:6">
      <c r="A1879" s="403">
        <v>3531</v>
      </c>
      <c r="B1879" s="403">
        <v>13</v>
      </c>
      <c r="C1879" s="166">
        <v>1160</v>
      </c>
      <c r="D1879" s="166">
        <v>201</v>
      </c>
      <c r="E1879" s="166" t="s">
        <v>1107</v>
      </c>
      <c r="F1879" s="166">
        <v>1872.3395833333334</v>
      </c>
    </row>
    <row r="1880" spans="1:6">
      <c r="A1880" s="403">
        <v>3533</v>
      </c>
      <c r="B1880" s="403">
        <v>13</v>
      </c>
      <c r="C1880" s="166">
        <v>1160</v>
      </c>
      <c r="D1880" s="166">
        <v>201</v>
      </c>
      <c r="E1880" s="166" t="s">
        <v>1107</v>
      </c>
      <c r="F1880" s="166">
        <v>1872.3395833333334</v>
      </c>
    </row>
    <row r="1881" spans="1:6">
      <c r="A1881" s="403">
        <v>3537</v>
      </c>
      <c r="B1881" s="403">
        <v>13</v>
      </c>
      <c r="C1881" s="166">
        <v>1160</v>
      </c>
      <c r="D1881" s="166">
        <v>201</v>
      </c>
      <c r="E1881" s="166" t="s">
        <v>1107</v>
      </c>
      <c r="F1881" s="166">
        <v>1872.3395833333334</v>
      </c>
    </row>
    <row r="1882" spans="1:6">
      <c r="A1882" s="403">
        <v>3540</v>
      </c>
      <c r="B1882" s="403">
        <v>13</v>
      </c>
      <c r="C1882" s="166">
        <v>1160</v>
      </c>
      <c r="D1882" s="166">
        <v>201</v>
      </c>
      <c r="E1882" s="166" t="s">
        <v>1107</v>
      </c>
      <c r="F1882" s="166">
        <v>1872.3395833333334</v>
      </c>
    </row>
    <row r="1883" spans="1:6">
      <c r="A1883" s="403">
        <v>3542</v>
      </c>
      <c r="B1883" s="403">
        <v>13</v>
      </c>
      <c r="C1883" s="166">
        <v>1160</v>
      </c>
      <c r="D1883" s="166">
        <v>201</v>
      </c>
      <c r="E1883" s="166" t="s">
        <v>1107</v>
      </c>
      <c r="F1883" s="166">
        <v>1872.3395833333334</v>
      </c>
    </row>
    <row r="1884" spans="1:6">
      <c r="A1884" s="403">
        <v>3544</v>
      </c>
      <c r="B1884" s="403">
        <v>13</v>
      </c>
      <c r="C1884" s="166">
        <v>1160</v>
      </c>
      <c r="D1884" s="166">
        <v>201</v>
      </c>
      <c r="E1884" s="166" t="s">
        <v>1107</v>
      </c>
      <c r="F1884" s="166">
        <v>1872.3395833333334</v>
      </c>
    </row>
    <row r="1885" spans="1:6">
      <c r="A1885" s="403">
        <v>3546</v>
      </c>
      <c r="B1885" s="403">
        <v>13</v>
      </c>
      <c r="C1885" s="166">
        <v>1160</v>
      </c>
      <c r="D1885" s="166">
        <v>201</v>
      </c>
      <c r="E1885" s="166" t="s">
        <v>1107</v>
      </c>
      <c r="F1885" s="166">
        <v>1872.3395833333334</v>
      </c>
    </row>
    <row r="1886" spans="1:6">
      <c r="A1886" s="403">
        <v>3549</v>
      </c>
      <c r="B1886" s="403">
        <v>13</v>
      </c>
      <c r="C1886" s="166">
        <v>1160</v>
      </c>
      <c r="D1886" s="166">
        <v>201</v>
      </c>
      <c r="E1886" s="166" t="s">
        <v>1107</v>
      </c>
      <c r="F1886" s="166">
        <v>1872.3395833333334</v>
      </c>
    </row>
    <row r="1887" spans="1:6">
      <c r="A1887" s="403">
        <v>3550</v>
      </c>
      <c r="B1887" s="403">
        <v>16</v>
      </c>
      <c r="C1887" s="166">
        <v>1595</v>
      </c>
      <c r="D1887" s="166">
        <v>248</v>
      </c>
      <c r="E1887" s="166" t="s">
        <v>1107</v>
      </c>
      <c r="F1887" s="166">
        <v>1117.5294847775194</v>
      </c>
    </row>
    <row r="1888" spans="1:6">
      <c r="A1888" s="403">
        <v>3551</v>
      </c>
      <c r="B1888" s="403">
        <v>16</v>
      </c>
      <c r="C1888" s="166">
        <v>1595</v>
      </c>
      <c r="D1888" s="166">
        <v>248</v>
      </c>
      <c r="E1888" s="166" t="s">
        <v>1107</v>
      </c>
      <c r="F1888" s="166">
        <v>1117.5294847775194</v>
      </c>
    </row>
    <row r="1889" spans="1:6">
      <c r="A1889" s="403">
        <v>3552</v>
      </c>
      <c r="B1889" s="403">
        <v>16</v>
      </c>
      <c r="C1889" s="166">
        <v>1595</v>
      </c>
      <c r="D1889" s="166">
        <v>248</v>
      </c>
      <c r="E1889" s="166" t="s">
        <v>1107</v>
      </c>
      <c r="F1889" s="166">
        <v>1117.5294847775194</v>
      </c>
    </row>
    <row r="1890" spans="1:6">
      <c r="A1890" s="403">
        <v>3554</v>
      </c>
      <c r="B1890" s="403">
        <v>16</v>
      </c>
      <c r="C1890" s="166">
        <v>1595</v>
      </c>
      <c r="D1890" s="166">
        <v>248</v>
      </c>
      <c r="E1890" s="166" t="s">
        <v>1107</v>
      </c>
      <c r="F1890" s="166">
        <v>1117.5294847775194</v>
      </c>
    </row>
    <row r="1891" spans="1:6">
      <c r="A1891" s="403">
        <v>3555</v>
      </c>
      <c r="B1891" s="403">
        <v>16</v>
      </c>
      <c r="C1891" s="166">
        <v>1595</v>
      </c>
      <c r="D1891" s="166">
        <v>248</v>
      </c>
      <c r="E1891" s="166" t="s">
        <v>1107</v>
      </c>
      <c r="F1891" s="166">
        <v>1117.5294847775194</v>
      </c>
    </row>
    <row r="1892" spans="1:6">
      <c r="A1892" s="403">
        <v>3556</v>
      </c>
      <c r="B1892" s="403">
        <v>16</v>
      </c>
      <c r="C1892" s="166">
        <v>1595</v>
      </c>
      <c r="D1892" s="166">
        <v>248</v>
      </c>
      <c r="E1892" s="166" t="s">
        <v>1107</v>
      </c>
      <c r="F1892" s="166">
        <v>1117.5294847775194</v>
      </c>
    </row>
    <row r="1893" spans="1:6">
      <c r="A1893" s="403">
        <v>3557</v>
      </c>
      <c r="B1893" s="403">
        <v>16</v>
      </c>
      <c r="C1893" s="166">
        <v>1595</v>
      </c>
      <c r="D1893" s="166">
        <v>248</v>
      </c>
      <c r="E1893" s="166" t="s">
        <v>1107</v>
      </c>
      <c r="F1893" s="166">
        <v>1117.5294847775194</v>
      </c>
    </row>
    <row r="1894" spans="1:6">
      <c r="A1894" s="403">
        <v>3558</v>
      </c>
      <c r="B1894" s="403">
        <v>16</v>
      </c>
      <c r="C1894" s="166">
        <v>1595</v>
      </c>
      <c r="D1894" s="166">
        <v>248</v>
      </c>
      <c r="E1894" s="166" t="s">
        <v>1107</v>
      </c>
      <c r="F1894" s="166">
        <v>1117.5294847775194</v>
      </c>
    </row>
    <row r="1895" spans="1:6">
      <c r="A1895" s="403">
        <v>3559</v>
      </c>
      <c r="B1895" s="403">
        <v>16</v>
      </c>
      <c r="C1895" s="166">
        <v>1595</v>
      </c>
      <c r="D1895" s="166">
        <v>248</v>
      </c>
      <c r="E1895" s="166" t="s">
        <v>1107</v>
      </c>
      <c r="F1895" s="166">
        <v>1117.5294847775194</v>
      </c>
    </row>
    <row r="1896" spans="1:6">
      <c r="A1896" s="403">
        <v>3561</v>
      </c>
      <c r="B1896" s="403">
        <v>16</v>
      </c>
      <c r="C1896" s="166">
        <v>1595</v>
      </c>
      <c r="D1896" s="166">
        <v>248</v>
      </c>
      <c r="E1896" s="166" t="s">
        <v>1107</v>
      </c>
      <c r="F1896" s="166">
        <v>1117.5294847775194</v>
      </c>
    </row>
    <row r="1897" spans="1:6">
      <c r="A1897" s="403">
        <v>3562</v>
      </c>
      <c r="B1897" s="403">
        <v>16</v>
      </c>
      <c r="C1897" s="166">
        <v>1595</v>
      </c>
      <c r="D1897" s="166">
        <v>248</v>
      </c>
      <c r="E1897" s="166" t="s">
        <v>1107</v>
      </c>
      <c r="F1897" s="166">
        <v>1117.5294847775194</v>
      </c>
    </row>
    <row r="1898" spans="1:6">
      <c r="A1898" s="403">
        <v>3563</v>
      </c>
      <c r="B1898" s="403">
        <v>16</v>
      </c>
      <c r="C1898" s="166">
        <v>1595</v>
      </c>
      <c r="D1898" s="166">
        <v>248</v>
      </c>
      <c r="E1898" s="166" t="s">
        <v>1107</v>
      </c>
      <c r="F1898" s="166">
        <v>1117.5294847775194</v>
      </c>
    </row>
    <row r="1899" spans="1:6">
      <c r="A1899" s="403">
        <v>3564</v>
      </c>
      <c r="B1899" s="403">
        <v>16</v>
      </c>
      <c r="C1899" s="166">
        <v>1595</v>
      </c>
      <c r="D1899" s="166">
        <v>248</v>
      </c>
      <c r="E1899" s="166" t="s">
        <v>1107</v>
      </c>
      <c r="F1899" s="166">
        <v>1117.5294847775194</v>
      </c>
    </row>
    <row r="1900" spans="1:6">
      <c r="A1900" s="403">
        <v>3565</v>
      </c>
      <c r="B1900" s="403">
        <v>16</v>
      </c>
      <c r="C1900" s="166">
        <v>1595</v>
      </c>
      <c r="D1900" s="166">
        <v>248</v>
      </c>
      <c r="E1900" s="166" t="s">
        <v>1107</v>
      </c>
      <c r="F1900" s="166">
        <v>1117.5294847775194</v>
      </c>
    </row>
    <row r="1901" spans="1:6">
      <c r="A1901" s="403">
        <v>3566</v>
      </c>
      <c r="B1901" s="403">
        <v>16</v>
      </c>
      <c r="C1901" s="166">
        <v>1595</v>
      </c>
      <c r="D1901" s="166">
        <v>248</v>
      </c>
      <c r="E1901" s="166" t="s">
        <v>1107</v>
      </c>
      <c r="F1901" s="166">
        <v>1117.5294847775194</v>
      </c>
    </row>
    <row r="1902" spans="1:6">
      <c r="A1902" s="403">
        <v>3567</v>
      </c>
      <c r="B1902" s="403">
        <v>16</v>
      </c>
      <c r="C1902" s="166">
        <v>1595</v>
      </c>
      <c r="D1902" s="166">
        <v>248</v>
      </c>
      <c r="E1902" s="166" t="s">
        <v>1107</v>
      </c>
      <c r="F1902" s="166">
        <v>1117.5294847775194</v>
      </c>
    </row>
    <row r="1903" spans="1:6">
      <c r="A1903" s="403">
        <v>3568</v>
      </c>
      <c r="B1903" s="403">
        <v>16</v>
      </c>
      <c r="C1903" s="166">
        <v>1595</v>
      </c>
      <c r="D1903" s="166">
        <v>248</v>
      </c>
      <c r="E1903" s="166" t="s">
        <v>1107</v>
      </c>
      <c r="F1903" s="166">
        <v>1117.5294847775194</v>
      </c>
    </row>
    <row r="1904" spans="1:6">
      <c r="A1904" s="403">
        <v>3570</v>
      </c>
      <c r="B1904" s="403">
        <v>16</v>
      </c>
      <c r="C1904" s="166">
        <v>1595</v>
      </c>
      <c r="D1904" s="166">
        <v>248</v>
      </c>
      <c r="E1904" s="166" t="s">
        <v>1107</v>
      </c>
      <c r="F1904" s="166">
        <v>1117.5294847775194</v>
      </c>
    </row>
    <row r="1905" spans="1:6">
      <c r="A1905" s="403">
        <v>3571</v>
      </c>
      <c r="B1905" s="403">
        <v>16</v>
      </c>
      <c r="C1905" s="166">
        <v>1595</v>
      </c>
      <c r="D1905" s="166">
        <v>248</v>
      </c>
      <c r="E1905" s="166" t="s">
        <v>1107</v>
      </c>
      <c r="F1905" s="166">
        <v>1117.5294847775194</v>
      </c>
    </row>
    <row r="1906" spans="1:6">
      <c r="A1906" s="403">
        <v>3572</v>
      </c>
      <c r="B1906" s="403">
        <v>16</v>
      </c>
      <c r="C1906" s="166">
        <v>1595</v>
      </c>
      <c r="D1906" s="166">
        <v>248</v>
      </c>
      <c r="E1906" s="166" t="s">
        <v>1107</v>
      </c>
      <c r="F1906" s="166">
        <v>1117.5294847775194</v>
      </c>
    </row>
    <row r="1907" spans="1:6">
      <c r="A1907" s="403">
        <v>3573</v>
      </c>
      <c r="B1907" s="403">
        <v>16</v>
      </c>
      <c r="C1907" s="166">
        <v>1595</v>
      </c>
      <c r="D1907" s="166">
        <v>248</v>
      </c>
      <c r="E1907" s="166" t="s">
        <v>1107</v>
      </c>
      <c r="F1907" s="166">
        <v>1117.5294847775194</v>
      </c>
    </row>
    <row r="1908" spans="1:6">
      <c r="A1908" s="403">
        <v>3575</v>
      </c>
      <c r="B1908" s="403">
        <v>16</v>
      </c>
      <c r="C1908" s="166">
        <v>1595</v>
      </c>
      <c r="D1908" s="166">
        <v>248</v>
      </c>
      <c r="E1908" s="166" t="s">
        <v>1107</v>
      </c>
      <c r="F1908" s="166">
        <v>1117.5294847775194</v>
      </c>
    </row>
    <row r="1909" spans="1:6">
      <c r="A1909" s="403">
        <v>3576</v>
      </c>
      <c r="B1909" s="403">
        <v>16</v>
      </c>
      <c r="C1909" s="166">
        <v>1595</v>
      </c>
      <c r="D1909" s="166">
        <v>248</v>
      </c>
      <c r="E1909" s="166" t="s">
        <v>1107</v>
      </c>
      <c r="F1909" s="166">
        <v>1117.5294847775194</v>
      </c>
    </row>
    <row r="1910" spans="1:6">
      <c r="A1910" s="403">
        <v>3578</v>
      </c>
      <c r="B1910" s="403">
        <v>16</v>
      </c>
      <c r="C1910" s="166">
        <v>1595</v>
      </c>
      <c r="D1910" s="166">
        <v>248</v>
      </c>
      <c r="E1910" s="166" t="s">
        <v>1107</v>
      </c>
      <c r="F1910" s="166">
        <v>1117.5294847775194</v>
      </c>
    </row>
    <row r="1911" spans="1:6">
      <c r="A1911" s="403">
        <v>3579</v>
      </c>
      <c r="B1911" s="403">
        <v>16</v>
      </c>
      <c r="C1911" s="166">
        <v>1595</v>
      </c>
      <c r="D1911" s="166">
        <v>248</v>
      </c>
      <c r="E1911" s="166" t="s">
        <v>1107</v>
      </c>
      <c r="F1911" s="166">
        <v>1117.5294847775194</v>
      </c>
    </row>
    <row r="1912" spans="1:6">
      <c r="A1912" s="403">
        <v>3580</v>
      </c>
      <c r="B1912" s="403">
        <v>16</v>
      </c>
      <c r="C1912" s="166">
        <v>1595</v>
      </c>
      <c r="D1912" s="166">
        <v>248</v>
      </c>
      <c r="E1912" s="166" t="s">
        <v>1107</v>
      </c>
      <c r="F1912" s="166">
        <v>1117.5294847775194</v>
      </c>
    </row>
    <row r="1913" spans="1:6">
      <c r="A1913" s="403">
        <v>3581</v>
      </c>
      <c r="B1913" s="403">
        <v>13</v>
      </c>
      <c r="C1913" s="166">
        <v>1160</v>
      </c>
      <c r="D1913" s="166">
        <v>201</v>
      </c>
      <c r="E1913" s="166" t="s">
        <v>1107</v>
      </c>
      <c r="F1913" s="166">
        <v>1872.3395833333334</v>
      </c>
    </row>
    <row r="1914" spans="1:6">
      <c r="A1914" s="403">
        <v>3583</v>
      </c>
      <c r="B1914" s="403">
        <v>13</v>
      </c>
      <c r="C1914" s="166">
        <v>1160</v>
      </c>
      <c r="D1914" s="166">
        <v>201</v>
      </c>
      <c r="E1914" s="166" t="s">
        <v>1107</v>
      </c>
      <c r="F1914" s="166">
        <v>1872.3395833333334</v>
      </c>
    </row>
    <row r="1915" spans="1:6">
      <c r="A1915" s="403">
        <v>3584</v>
      </c>
      <c r="B1915" s="403">
        <v>13</v>
      </c>
      <c r="C1915" s="166">
        <v>1160</v>
      </c>
      <c r="D1915" s="166">
        <v>201</v>
      </c>
      <c r="E1915" s="166" t="s">
        <v>1107</v>
      </c>
      <c r="F1915" s="166">
        <v>1872.3395833333334</v>
      </c>
    </row>
    <row r="1916" spans="1:6">
      <c r="A1916" s="403">
        <v>3585</v>
      </c>
      <c r="B1916" s="403">
        <v>13</v>
      </c>
      <c r="C1916" s="166">
        <v>1160</v>
      </c>
      <c r="D1916" s="166">
        <v>201</v>
      </c>
      <c r="E1916" s="166" t="s">
        <v>1107</v>
      </c>
      <c r="F1916" s="166">
        <v>1872.3395833333334</v>
      </c>
    </row>
    <row r="1917" spans="1:6">
      <c r="A1917" s="403">
        <v>3586</v>
      </c>
      <c r="B1917" s="403">
        <v>13</v>
      </c>
      <c r="C1917" s="166">
        <v>1160</v>
      </c>
      <c r="D1917" s="166">
        <v>201</v>
      </c>
      <c r="E1917" s="166" t="s">
        <v>1107</v>
      </c>
      <c r="F1917" s="166">
        <v>1872.3395833333334</v>
      </c>
    </row>
    <row r="1918" spans="1:6">
      <c r="A1918" s="403">
        <v>3588</v>
      </c>
      <c r="B1918" s="403">
        <v>13</v>
      </c>
      <c r="C1918" s="166">
        <v>1160</v>
      </c>
      <c r="D1918" s="166">
        <v>201</v>
      </c>
      <c r="E1918" s="166" t="s">
        <v>1107</v>
      </c>
      <c r="F1918" s="166">
        <v>1872.3395833333334</v>
      </c>
    </row>
    <row r="1919" spans="1:6">
      <c r="A1919" s="403">
        <v>3589</v>
      </c>
      <c r="B1919" s="403">
        <v>13</v>
      </c>
      <c r="C1919" s="166">
        <v>1160</v>
      </c>
      <c r="D1919" s="166">
        <v>201</v>
      </c>
      <c r="E1919" s="166" t="s">
        <v>1107</v>
      </c>
      <c r="F1919" s="166">
        <v>1872.3395833333334</v>
      </c>
    </row>
    <row r="1920" spans="1:6">
      <c r="A1920" s="403">
        <v>3590</v>
      </c>
      <c r="B1920" s="403">
        <v>13</v>
      </c>
      <c r="C1920" s="166">
        <v>1160</v>
      </c>
      <c r="D1920" s="166">
        <v>201</v>
      </c>
      <c r="E1920" s="166" t="s">
        <v>1107</v>
      </c>
      <c r="F1920" s="166">
        <v>1872.3395833333334</v>
      </c>
    </row>
    <row r="1921" spans="1:6">
      <c r="A1921" s="403">
        <v>3591</v>
      </c>
      <c r="B1921" s="403">
        <v>13</v>
      </c>
      <c r="C1921" s="166">
        <v>1160</v>
      </c>
      <c r="D1921" s="166">
        <v>201</v>
      </c>
      <c r="E1921" s="166" t="s">
        <v>1107</v>
      </c>
      <c r="F1921" s="166">
        <v>1872.3395833333334</v>
      </c>
    </row>
    <row r="1922" spans="1:6">
      <c r="A1922" s="403">
        <v>3594</v>
      </c>
      <c r="B1922" s="403">
        <v>13</v>
      </c>
      <c r="C1922" s="166">
        <v>1160</v>
      </c>
      <c r="D1922" s="166">
        <v>201</v>
      </c>
      <c r="E1922" s="166" t="s">
        <v>1107</v>
      </c>
      <c r="F1922" s="166">
        <v>1872.3395833333334</v>
      </c>
    </row>
    <row r="1923" spans="1:6">
      <c r="A1923" s="403">
        <v>3595</v>
      </c>
      <c r="B1923" s="403">
        <v>13</v>
      </c>
      <c r="C1923" s="166">
        <v>1160</v>
      </c>
      <c r="D1923" s="166">
        <v>201</v>
      </c>
      <c r="E1923" s="166" t="s">
        <v>1107</v>
      </c>
      <c r="F1923" s="166">
        <v>1872.3395833333334</v>
      </c>
    </row>
    <row r="1924" spans="1:6">
      <c r="A1924" s="403">
        <v>3596</v>
      </c>
      <c r="B1924" s="403">
        <v>16</v>
      </c>
      <c r="C1924" s="166">
        <v>1595</v>
      </c>
      <c r="D1924" s="166">
        <v>248</v>
      </c>
      <c r="E1924" s="166" t="s">
        <v>1107</v>
      </c>
      <c r="F1924" s="166">
        <v>1117.5294847775194</v>
      </c>
    </row>
    <row r="1925" spans="1:6">
      <c r="A1925" s="403">
        <v>3597</v>
      </c>
      <c r="B1925" s="403">
        <v>13</v>
      </c>
      <c r="C1925" s="166">
        <v>1160</v>
      </c>
      <c r="D1925" s="166">
        <v>201</v>
      </c>
      <c r="E1925" s="166" t="s">
        <v>1107</v>
      </c>
      <c r="F1925" s="166">
        <v>1872.3395833333334</v>
      </c>
    </row>
    <row r="1926" spans="1:6">
      <c r="A1926" s="403">
        <v>3599</v>
      </c>
      <c r="B1926" s="403">
        <v>13</v>
      </c>
      <c r="C1926" s="166">
        <v>1160</v>
      </c>
      <c r="D1926" s="166">
        <v>201</v>
      </c>
      <c r="E1926" s="166" t="s">
        <v>1107</v>
      </c>
      <c r="F1926" s="166">
        <v>1872.3395833333334</v>
      </c>
    </row>
    <row r="1927" spans="1:6">
      <c r="A1927" s="403">
        <v>3607</v>
      </c>
      <c r="B1927" s="403">
        <v>17</v>
      </c>
      <c r="C1927" s="166">
        <v>1846</v>
      </c>
      <c r="D1927" s="166">
        <v>145</v>
      </c>
      <c r="E1927" s="166" t="s">
        <v>1107</v>
      </c>
      <c r="F1927" s="166">
        <v>179.06961105052642</v>
      </c>
    </row>
    <row r="1928" spans="1:6">
      <c r="A1928" s="403">
        <v>3608</v>
      </c>
      <c r="B1928" s="403">
        <v>16</v>
      </c>
      <c r="C1928" s="166">
        <v>1595</v>
      </c>
      <c r="D1928" s="166">
        <v>248</v>
      </c>
      <c r="E1928" s="166" t="s">
        <v>1107</v>
      </c>
      <c r="F1928" s="166">
        <v>1117.5294847775194</v>
      </c>
    </row>
    <row r="1929" spans="1:6">
      <c r="A1929" s="403">
        <v>3610</v>
      </c>
      <c r="B1929" s="403">
        <v>16</v>
      </c>
      <c r="C1929" s="166">
        <v>1595</v>
      </c>
      <c r="D1929" s="166">
        <v>248</v>
      </c>
      <c r="E1929" s="166" t="s">
        <v>1107</v>
      </c>
      <c r="F1929" s="166">
        <v>1117.5294847775194</v>
      </c>
    </row>
    <row r="1930" spans="1:6">
      <c r="A1930" s="403">
        <v>3612</v>
      </c>
      <c r="B1930" s="403">
        <v>16</v>
      </c>
      <c r="C1930" s="166">
        <v>1595</v>
      </c>
      <c r="D1930" s="166">
        <v>248</v>
      </c>
      <c r="E1930" s="166" t="s">
        <v>1107</v>
      </c>
      <c r="F1930" s="166">
        <v>1117.5294847775194</v>
      </c>
    </row>
    <row r="1931" spans="1:6">
      <c r="A1931" s="403">
        <v>3614</v>
      </c>
      <c r="B1931" s="403">
        <v>16</v>
      </c>
      <c r="C1931" s="166">
        <v>1595</v>
      </c>
      <c r="D1931" s="166">
        <v>248</v>
      </c>
      <c r="E1931" s="166" t="s">
        <v>1107</v>
      </c>
      <c r="F1931" s="166">
        <v>1117.5294847775194</v>
      </c>
    </row>
    <row r="1932" spans="1:6">
      <c r="A1932" s="403">
        <v>3616</v>
      </c>
      <c r="B1932" s="403">
        <v>16</v>
      </c>
      <c r="C1932" s="166">
        <v>1595</v>
      </c>
      <c r="D1932" s="166">
        <v>248</v>
      </c>
      <c r="E1932" s="166" t="s">
        <v>1107</v>
      </c>
      <c r="F1932" s="166">
        <v>1117.5294847775194</v>
      </c>
    </row>
    <row r="1933" spans="1:6">
      <c r="A1933" s="403">
        <v>3617</v>
      </c>
      <c r="B1933" s="403">
        <v>16</v>
      </c>
      <c r="C1933" s="166">
        <v>1595</v>
      </c>
      <c r="D1933" s="166">
        <v>248</v>
      </c>
      <c r="E1933" s="166" t="s">
        <v>1107</v>
      </c>
      <c r="F1933" s="166">
        <v>1117.5294847775194</v>
      </c>
    </row>
    <row r="1934" spans="1:6">
      <c r="A1934" s="403">
        <v>3618</v>
      </c>
      <c r="B1934" s="403">
        <v>16</v>
      </c>
      <c r="C1934" s="166">
        <v>1595</v>
      </c>
      <c r="D1934" s="166">
        <v>248</v>
      </c>
      <c r="E1934" s="166" t="s">
        <v>1107</v>
      </c>
      <c r="F1934" s="166">
        <v>1117.5294847775194</v>
      </c>
    </row>
    <row r="1935" spans="1:6">
      <c r="A1935" s="403">
        <v>3619</v>
      </c>
      <c r="B1935" s="403">
        <v>16</v>
      </c>
      <c r="C1935" s="166">
        <v>1595</v>
      </c>
      <c r="D1935" s="166">
        <v>248</v>
      </c>
      <c r="E1935" s="166" t="s">
        <v>1107</v>
      </c>
      <c r="F1935" s="166">
        <v>1117.5294847775194</v>
      </c>
    </row>
    <row r="1936" spans="1:6">
      <c r="A1936" s="403">
        <v>3620</v>
      </c>
      <c r="B1936" s="403">
        <v>16</v>
      </c>
      <c r="C1936" s="166">
        <v>1595</v>
      </c>
      <c r="D1936" s="166">
        <v>248</v>
      </c>
      <c r="E1936" s="166" t="s">
        <v>1107</v>
      </c>
      <c r="F1936" s="166">
        <v>1117.5294847775194</v>
      </c>
    </row>
    <row r="1937" spans="1:6">
      <c r="A1937" s="403">
        <v>3621</v>
      </c>
      <c r="B1937" s="403">
        <v>16</v>
      </c>
      <c r="C1937" s="166">
        <v>1595</v>
      </c>
      <c r="D1937" s="166">
        <v>248</v>
      </c>
      <c r="E1937" s="166" t="s">
        <v>1107</v>
      </c>
      <c r="F1937" s="166">
        <v>1117.5294847775194</v>
      </c>
    </row>
    <row r="1938" spans="1:6">
      <c r="A1938" s="403">
        <v>3622</v>
      </c>
      <c r="B1938" s="403">
        <v>16</v>
      </c>
      <c r="C1938" s="166">
        <v>1595</v>
      </c>
      <c r="D1938" s="166">
        <v>248</v>
      </c>
      <c r="E1938" s="166" t="s">
        <v>1107</v>
      </c>
      <c r="F1938" s="166">
        <v>1117.5294847775194</v>
      </c>
    </row>
    <row r="1939" spans="1:6">
      <c r="A1939" s="403">
        <v>3623</v>
      </c>
      <c r="B1939" s="403">
        <v>16</v>
      </c>
      <c r="C1939" s="166">
        <v>1595</v>
      </c>
      <c r="D1939" s="166">
        <v>248</v>
      </c>
      <c r="E1939" s="166" t="s">
        <v>1107</v>
      </c>
      <c r="F1939" s="166">
        <v>1117.5294847775194</v>
      </c>
    </row>
    <row r="1940" spans="1:6">
      <c r="A1940" s="403">
        <v>3624</v>
      </c>
      <c r="B1940" s="403">
        <v>16</v>
      </c>
      <c r="C1940" s="166">
        <v>1595</v>
      </c>
      <c r="D1940" s="166">
        <v>248</v>
      </c>
      <c r="E1940" s="166" t="s">
        <v>1107</v>
      </c>
      <c r="F1940" s="166">
        <v>1117.5294847775194</v>
      </c>
    </row>
    <row r="1941" spans="1:6">
      <c r="A1941" s="403">
        <v>3629</v>
      </c>
      <c r="B1941" s="403">
        <v>16</v>
      </c>
      <c r="C1941" s="166">
        <v>1595</v>
      </c>
      <c r="D1941" s="166">
        <v>248</v>
      </c>
      <c r="E1941" s="166" t="s">
        <v>1107</v>
      </c>
      <c r="F1941" s="166">
        <v>1117.5294847775194</v>
      </c>
    </row>
    <row r="1942" spans="1:6">
      <c r="A1942" s="403">
        <v>3630</v>
      </c>
      <c r="B1942" s="403">
        <v>16</v>
      </c>
      <c r="C1942" s="166">
        <v>1595</v>
      </c>
      <c r="D1942" s="166">
        <v>248</v>
      </c>
      <c r="E1942" s="166" t="s">
        <v>1107</v>
      </c>
      <c r="F1942" s="166">
        <v>1117.5294847775194</v>
      </c>
    </row>
    <row r="1943" spans="1:6">
      <c r="A1943" s="403">
        <v>3631</v>
      </c>
      <c r="B1943" s="403">
        <v>16</v>
      </c>
      <c r="C1943" s="166">
        <v>1595</v>
      </c>
      <c r="D1943" s="166">
        <v>248</v>
      </c>
      <c r="E1943" s="166" t="s">
        <v>1107</v>
      </c>
      <c r="F1943" s="166">
        <v>1117.5294847775194</v>
      </c>
    </row>
    <row r="1944" spans="1:6">
      <c r="A1944" s="403">
        <v>3632</v>
      </c>
      <c r="B1944" s="403">
        <v>16</v>
      </c>
      <c r="C1944" s="166">
        <v>1595</v>
      </c>
      <c r="D1944" s="166">
        <v>248</v>
      </c>
      <c r="E1944" s="166" t="s">
        <v>1107</v>
      </c>
      <c r="F1944" s="166">
        <v>1117.5294847775194</v>
      </c>
    </row>
    <row r="1945" spans="1:6">
      <c r="A1945" s="403">
        <v>3633</v>
      </c>
      <c r="B1945" s="403">
        <v>16</v>
      </c>
      <c r="C1945" s="166">
        <v>1595</v>
      </c>
      <c r="D1945" s="166">
        <v>248</v>
      </c>
      <c r="E1945" s="166" t="s">
        <v>1107</v>
      </c>
      <c r="F1945" s="166">
        <v>1117.5294847775194</v>
      </c>
    </row>
    <row r="1946" spans="1:6">
      <c r="A1946" s="403">
        <v>3634</v>
      </c>
      <c r="B1946" s="403">
        <v>16</v>
      </c>
      <c r="C1946" s="166">
        <v>1595</v>
      </c>
      <c r="D1946" s="166">
        <v>248</v>
      </c>
      <c r="E1946" s="166" t="s">
        <v>1107</v>
      </c>
      <c r="F1946" s="166">
        <v>1117.5294847775194</v>
      </c>
    </row>
    <row r="1947" spans="1:6">
      <c r="A1947" s="403">
        <v>3635</v>
      </c>
      <c r="B1947" s="403">
        <v>16</v>
      </c>
      <c r="C1947" s="166">
        <v>1595</v>
      </c>
      <c r="D1947" s="166">
        <v>248</v>
      </c>
      <c r="E1947" s="166" t="s">
        <v>1107</v>
      </c>
      <c r="F1947" s="166">
        <v>1117.5294847775194</v>
      </c>
    </row>
    <row r="1948" spans="1:6">
      <c r="A1948" s="403">
        <v>3636</v>
      </c>
      <c r="B1948" s="403">
        <v>16</v>
      </c>
      <c r="C1948" s="166">
        <v>1595</v>
      </c>
      <c r="D1948" s="166">
        <v>248</v>
      </c>
      <c r="E1948" s="166" t="s">
        <v>1107</v>
      </c>
      <c r="F1948" s="166">
        <v>1117.5294847775194</v>
      </c>
    </row>
    <row r="1949" spans="1:6">
      <c r="A1949" s="403">
        <v>3637</v>
      </c>
      <c r="B1949" s="403">
        <v>16</v>
      </c>
      <c r="C1949" s="166">
        <v>1595</v>
      </c>
      <c r="D1949" s="166">
        <v>248</v>
      </c>
      <c r="E1949" s="166" t="s">
        <v>1107</v>
      </c>
      <c r="F1949" s="166">
        <v>1117.5294847775194</v>
      </c>
    </row>
    <row r="1950" spans="1:6">
      <c r="A1950" s="403">
        <v>3638</v>
      </c>
      <c r="B1950" s="403">
        <v>16</v>
      </c>
      <c r="C1950" s="166">
        <v>1595</v>
      </c>
      <c r="D1950" s="166">
        <v>248</v>
      </c>
      <c r="E1950" s="166" t="s">
        <v>1107</v>
      </c>
      <c r="F1950" s="166">
        <v>1117.5294847775194</v>
      </c>
    </row>
    <row r="1951" spans="1:6">
      <c r="A1951" s="403">
        <v>3639</v>
      </c>
      <c r="B1951" s="403">
        <v>16</v>
      </c>
      <c r="C1951" s="166">
        <v>1595</v>
      </c>
      <c r="D1951" s="166">
        <v>248</v>
      </c>
      <c r="E1951" s="166" t="s">
        <v>1107</v>
      </c>
      <c r="F1951" s="166">
        <v>1117.5294847775194</v>
      </c>
    </row>
    <row r="1952" spans="1:6">
      <c r="A1952" s="403">
        <v>3640</v>
      </c>
      <c r="B1952" s="403">
        <v>16</v>
      </c>
      <c r="C1952" s="166">
        <v>1595</v>
      </c>
      <c r="D1952" s="166">
        <v>248</v>
      </c>
      <c r="E1952" s="166" t="s">
        <v>1107</v>
      </c>
      <c r="F1952" s="166">
        <v>1117.5294847775194</v>
      </c>
    </row>
    <row r="1953" spans="1:6">
      <c r="A1953" s="403">
        <v>3641</v>
      </c>
      <c r="B1953" s="403">
        <v>16</v>
      </c>
      <c r="C1953" s="166">
        <v>1595</v>
      </c>
      <c r="D1953" s="166">
        <v>248</v>
      </c>
      <c r="E1953" s="166" t="s">
        <v>1107</v>
      </c>
      <c r="F1953" s="166">
        <v>1117.5294847775194</v>
      </c>
    </row>
    <row r="1954" spans="1:6">
      <c r="A1954" s="403">
        <v>3643</v>
      </c>
      <c r="B1954" s="403">
        <v>16</v>
      </c>
      <c r="C1954" s="166">
        <v>1595</v>
      </c>
      <c r="D1954" s="166">
        <v>248</v>
      </c>
      <c r="E1954" s="166" t="s">
        <v>1107</v>
      </c>
      <c r="F1954" s="166">
        <v>1117.5294847775194</v>
      </c>
    </row>
    <row r="1955" spans="1:6">
      <c r="A1955" s="403">
        <v>3644</v>
      </c>
      <c r="B1955" s="403">
        <v>16</v>
      </c>
      <c r="C1955" s="166">
        <v>1595</v>
      </c>
      <c r="D1955" s="166">
        <v>248</v>
      </c>
      <c r="E1955" s="166" t="s">
        <v>1107</v>
      </c>
      <c r="F1955" s="166">
        <v>1117.5294847775194</v>
      </c>
    </row>
    <row r="1956" spans="1:6">
      <c r="A1956" s="403">
        <v>3646</v>
      </c>
      <c r="B1956" s="403">
        <v>16</v>
      </c>
      <c r="C1956" s="166">
        <v>1595</v>
      </c>
      <c r="D1956" s="166">
        <v>248</v>
      </c>
      <c r="E1956" s="166" t="s">
        <v>1107</v>
      </c>
      <c r="F1956" s="166">
        <v>1117.5294847775194</v>
      </c>
    </row>
    <row r="1957" spans="1:6">
      <c r="A1957" s="403">
        <v>3647</v>
      </c>
      <c r="B1957" s="403">
        <v>16</v>
      </c>
      <c r="C1957" s="166">
        <v>1595</v>
      </c>
      <c r="D1957" s="166">
        <v>248</v>
      </c>
      <c r="E1957" s="166" t="s">
        <v>1107</v>
      </c>
      <c r="F1957" s="166">
        <v>1117.5294847775194</v>
      </c>
    </row>
    <row r="1958" spans="1:6">
      <c r="A1958" s="403">
        <v>3649</v>
      </c>
      <c r="B1958" s="403">
        <v>16</v>
      </c>
      <c r="C1958" s="166">
        <v>1595</v>
      </c>
      <c r="D1958" s="166">
        <v>248</v>
      </c>
      <c r="E1958" s="166" t="s">
        <v>1107</v>
      </c>
      <c r="F1958" s="166">
        <v>1117.5294847775194</v>
      </c>
    </row>
    <row r="1959" spans="1:6">
      <c r="A1959" s="403">
        <v>3658</v>
      </c>
      <c r="B1959" s="403">
        <v>17</v>
      </c>
      <c r="C1959" s="166">
        <v>1846</v>
      </c>
      <c r="D1959" s="166">
        <v>145</v>
      </c>
      <c r="E1959" s="166" t="s">
        <v>1107</v>
      </c>
      <c r="F1959" s="166">
        <v>179.06961105052642</v>
      </c>
    </row>
    <row r="1960" spans="1:6">
      <c r="A1960" s="403">
        <v>3659</v>
      </c>
      <c r="B1960" s="403">
        <v>17</v>
      </c>
      <c r="C1960" s="166">
        <v>1846</v>
      </c>
      <c r="D1960" s="166">
        <v>145</v>
      </c>
      <c r="E1960" s="166" t="s">
        <v>1107</v>
      </c>
      <c r="F1960" s="166">
        <v>179.06961105052642</v>
      </c>
    </row>
    <row r="1961" spans="1:6">
      <c r="A1961" s="403">
        <v>3660</v>
      </c>
      <c r="B1961" s="403">
        <v>17</v>
      </c>
      <c r="C1961" s="166">
        <v>1846</v>
      </c>
      <c r="D1961" s="166">
        <v>145</v>
      </c>
      <c r="E1961" s="166" t="s">
        <v>1107</v>
      </c>
      <c r="F1961" s="166">
        <v>179.06961105052642</v>
      </c>
    </row>
    <row r="1962" spans="1:6">
      <c r="A1962" s="403">
        <v>3661</v>
      </c>
      <c r="B1962" s="403">
        <v>17</v>
      </c>
      <c r="C1962" s="166">
        <v>1846</v>
      </c>
      <c r="D1962" s="166">
        <v>145</v>
      </c>
      <c r="E1962" s="166" t="s">
        <v>1107</v>
      </c>
      <c r="F1962" s="166">
        <v>179.06961105052642</v>
      </c>
    </row>
    <row r="1963" spans="1:6">
      <c r="A1963" s="403">
        <v>3662</v>
      </c>
      <c r="B1963" s="403">
        <v>17</v>
      </c>
      <c r="C1963" s="166">
        <v>1846</v>
      </c>
      <c r="D1963" s="166">
        <v>145</v>
      </c>
      <c r="E1963" s="166" t="s">
        <v>1107</v>
      </c>
      <c r="F1963" s="166">
        <v>179.06961105052642</v>
      </c>
    </row>
    <row r="1964" spans="1:6">
      <c r="A1964" s="403">
        <v>3663</v>
      </c>
      <c r="B1964" s="403">
        <v>17</v>
      </c>
      <c r="C1964" s="166">
        <v>1846</v>
      </c>
      <c r="D1964" s="166">
        <v>145</v>
      </c>
      <c r="E1964" s="166" t="s">
        <v>1107</v>
      </c>
      <c r="F1964" s="166">
        <v>179.06961105052642</v>
      </c>
    </row>
    <row r="1965" spans="1:6">
      <c r="A1965" s="403">
        <v>3664</v>
      </c>
      <c r="B1965" s="403">
        <v>17</v>
      </c>
      <c r="C1965" s="166">
        <v>1846</v>
      </c>
      <c r="D1965" s="166">
        <v>145</v>
      </c>
      <c r="E1965" s="166" t="s">
        <v>1107</v>
      </c>
      <c r="F1965" s="166">
        <v>179.06961105052642</v>
      </c>
    </row>
    <row r="1966" spans="1:6">
      <c r="A1966" s="403">
        <v>3665</v>
      </c>
      <c r="B1966" s="403">
        <v>16</v>
      </c>
      <c r="C1966" s="166">
        <v>1595</v>
      </c>
      <c r="D1966" s="166">
        <v>248</v>
      </c>
      <c r="E1966" s="166" t="s">
        <v>1107</v>
      </c>
      <c r="F1966" s="166">
        <v>1117.5294847775194</v>
      </c>
    </row>
    <row r="1967" spans="1:6">
      <c r="A1967" s="403">
        <v>3666</v>
      </c>
      <c r="B1967" s="403">
        <v>16</v>
      </c>
      <c r="C1967" s="166">
        <v>1595</v>
      </c>
      <c r="D1967" s="166">
        <v>248</v>
      </c>
      <c r="E1967" s="166" t="s">
        <v>1107</v>
      </c>
      <c r="F1967" s="166">
        <v>1117.5294847775194</v>
      </c>
    </row>
    <row r="1968" spans="1:6">
      <c r="A1968" s="403">
        <v>3669</v>
      </c>
      <c r="B1968" s="403">
        <v>16</v>
      </c>
      <c r="C1968" s="166">
        <v>1595</v>
      </c>
      <c r="D1968" s="166">
        <v>248</v>
      </c>
      <c r="E1968" s="166" t="s">
        <v>1107</v>
      </c>
      <c r="F1968" s="166">
        <v>1117.5294847775194</v>
      </c>
    </row>
    <row r="1969" spans="1:6">
      <c r="A1969" s="403">
        <v>3670</v>
      </c>
      <c r="B1969" s="403">
        <v>19</v>
      </c>
      <c r="C1969" s="166">
        <v>2031</v>
      </c>
      <c r="D1969" s="166">
        <v>194</v>
      </c>
      <c r="E1969" s="166" t="s">
        <v>1107</v>
      </c>
      <c r="F1969" s="166">
        <v>171.27055803571511</v>
      </c>
    </row>
    <row r="1970" spans="1:6">
      <c r="A1970" s="403">
        <v>3671</v>
      </c>
      <c r="B1970" s="403">
        <v>19</v>
      </c>
      <c r="C1970" s="166">
        <v>2031</v>
      </c>
      <c r="D1970" s="166">
        <v>194</v>
      </c>
      <c r="E1970" s="166" t="s">
        <v>1107</v>
      </c>
      <c r="F1970" s="166">
        <v>171.27055803571511</v>
      </c>
    </row>
    <row r="1971" spans="1:6">
      <c r="A1971" s="403">
        <v>3672</v>
      </c>
      <c r="B1971" s="403">
        <v>19</v>
      </c>
      <c r="C1971" s="166">
        <v>2031</v>
      </c>
      <c r="D1971" s="166">
        <v>194</v>
      </c>
      <c r="E1971" s="166" t="s">
        <v>1107</v>
      </c>
      <c r="F1971" s="166">
        <v>171.27055803571511</v>
      </c>
    </row>
    <row r="1972" spans="1:6">
      <c r="A1972" s="403">
        <v>3673</v>
      </c>
      <c r="B1972" s="403">
        <v>19</v>
      </c>
      <c r="C1972" s="166">
        <v>2031</v>
      </c>
      <c r="D1972" s="166">
        <v>194</v>
      </c>
      <c r="E1972" s="166" t="s">
        <v>1107</v>
      </c>
      <c r="F1972" s="166">
        <v>171.27055803571511</v>
      </c>
    </row>
    <row r="1973" spans="1:6">
      <c r="A1973" s="403">
        <v>3675</v>
      </c>
      <c r="B1973" s="403">
        <v>19</v>
      </c>
      <c r="C1973" s="166">
        <v>2031</v>
      </c>
      <c r="D1973" s="166">
        <v>194</v>
      </c>
      <c r="E1973" s="166" t="s">
        <v>1107</v>
      </c>
      <c r="F1973" s="166">
        <v>171.27055803571511</v>
      </c>
    </row>
    <row r="1974" spans="1:6">
      <c r="A1974" s="403">
        <v>3676</v>
      </c>
      <c r="B1974" s="403">
        <v>19</v>
      </c>
      <c r="C1974" s="166">
        <v>2031</v>
      </c>
      <c r="D1974" s="166">
        <v>194</v>
      </c>
      <c r="E1974" s="166" t="s">
        <v>1107</v>
      </c>
      <c r="F1974" s="166">
        <v>171.27055803571511</v>
      </c>
    </row>
    <row r="1975" spans="1:6">
      <c r="A1975" s="403">
        <v>3677</v>
      </c>
      <c r="B1975" s="403">
        <v>19</v>
      </c>
      <c r="C1975" s="166">
        <v>2031</v>
      </c>
      <c r="D1975" s="166">
        <v>194</v>
      </c>
      <c r="E1975" s="166" t="s">
        <v>1107</v>
      </c>
      <c r="F1975" s="166">
        <v>171.27055803571511</v>
      </c>
    </row>
    <row r="1976" spans="1:6">
      <c r="A1976" s="403">
        <v>3678</v>
      </c>
      <c r="B1976" s="403">
        <v>19</v>
      </c>
      <c r="C1976" s="166">
        <v>2031</v>
      </c>
      <c r="D1976" s="166">
        <v>194</v>
      </c>
      <c r="E1976" s="166" t="s">
        <v>1107</v>
      </c>
      <c r="F1976" s="166">
        <v>171.27055803571511</v>
      </c>
    </row>
    <row r="1977" spans="1:6">
      <c r="A1977" s="403">
        <v>3682</v>
      </c>
      <c r="B1977" s="403">
        <v>19</v>
      </c>
      <c r="C1977" s="166">
        <v>2031</v>
      </c>
      <c r="D1977" s="166">
        <v>194</v>
      </c>
      <c r="E1977" s="166" t="s">
        <v>1107</v>
      </c>
      <c r="F1977" s="166">
        <v>171.27055803571511</v>
      </c>
    </row>
    <row r="1978" spans="1:6">
      <c r="A1978" s="403">
        <v>3683</v>
      </c>
      <c r="B1978" s="403">
        <v>19</v>
      </c>
      <c r="C1978" s="166">
        <v>2031</v>
      </c>
      <c r="D1978" s="166">
        <v>194</v>
      </c>
      <c r="E1978" s="166" t="s">
        <v>1107</v>
      </c>
      <c r="F1978" s="166">
        <v>171.27055803571511</v>
      </c>
    </row>
    <row r="1979" spans="1:6">
      <c r="A1979" s="403">
        <v>3685</v>
      </c>
      <c r="B1979" s="403">
        <v>19</v>
      </c>
      <c r="C1979" s="166">
        <v>2031</v>
      </c>
      <c r="D1979" s="166">
        <v>194</v>
      </c>
      <c r="E1979" s="166" t="s">
        <v>1107</v>
      </c>
      <c r="F1979" s="166">
        <v>171.27055803571511</v>
      </c>
    </row>
    <row r="1980" spans="1:6">
      <c r="A1980" s="403">
        <v>3687</v>
      </c>
      <c r="B1980" s="403">
        <v>19</v>
      </c>
      <c r="C1980" s="166">
        <v>2031</v>
      </c>
      <c r="D1980" s="166">
        <v>194</v>
      </c>
      <c r="E1980" s="166" t="s">
        <v>1107</v>
      </c>
      <c r="F1980" s="166">
        <v>171.27055803571511</v>
      </c>
    </row>
    <row r="1981" spans="1:6">
      <c r="A1981" s="403">
        <v>3688</v>
      </c>
      <c r="B1981" s="403">
        <v>19</v>
      </c>
      <c r="C1981" s="166">
        <v>2031</v>
      </c>
      <c r="D1981" s="166">
        <v>194</v>
      </c>
      <c r="E1981" s="166" t="s">
        <v>1107</v>
      </c>
      <c r="F1981" s="166">
        <v>171.27055803571511</v>
      </c>
    </row>
    <row r="1982" spans="1:6">
      <c r="A1982" s="403">
        <v>3689</v>
      </c>
      <c r="B1982" s="403">
        <v>19</v>
      </c>
      <c r="C1982" s="166">
        <v>2031</v>
      </c>
      <c r="D1982" s="166">
        <v>194</v>
      </c>
      <c r="E1982" s="166" t="s">
        <v>1107</v>
      </c>
      <c r="F1982" s="166">
        <v>171.27055803571511</v>
      </c>
    </row>
    <row r="1983" spans="1:6">
      <c r="A1983" s="403">
        <v>3690</v>
      </c>
      <c r="B1983" s="403">
        <v>19</v>
      </c>
      <c r="C1983" s="166">
        <v>2031</v>
      </c>
      <c r="D1983" s="166">
        <v>194</v>
      </c>
      <c r="E1983" s="166" t="s">
        <v>1107</v>
      </c>
      <c r="F1983" s="166">
        <v>171.27055803571511</v>
      </c>
    </row>
    <row r="1984" spans="1:6">
      <c r="A1984" s="403">
        <v>3691</v>
      </c>
      <c r="B1984" s="403">
        <v>19</v>
      </c>
      <c r="C1984" s="166">
        <v>2031</v>
      </c>
      <c r="D1984" s="166">
        <v>194</v>
      </c>
      <c r="E1984" s="166" t="s">
        <v>1107</v>
      </c>
      <c r="F1984" s="166">
        <v>171.27055803571511</v>
      </c>
    </row>
    <row r="1985" spans="1:6">
      <c r="A1985" s="403">
        <v>3693</v>
      </c>
      <c r="B1985" s="403">
        <v>19</v>
      </c>
      <c r="C1985" s="166">
        <v>2031</v>
      </c>
      <c r="D1985" s="166">
        <v>194</v>
      </c>
      <c r="E1985" s="166" t="s">
        <v>1107</v>
      </c>
      <c r="F1985" s="166">
        <v>171.27055803571511</v>
      </c>
    </row>
    <row r="1986" spans="1:6">
      <c r="A1986" s="403">
        <v>3694</v>
      </c>
      <c r="B1986" s="403">
        <v>19</v>
      </c>
      <c r="C1986" s="166">
        <v>2031</v>
      </c>
      <c r="D1986" s="166">
        <v>194</v>
      </c>
      <c r="E1986" s="166" t="s">
        <v>1107</v>
      </c>
      <c r="F1986" s="166">
        <v>171.27055803571511</v>
      </c>
    </row>
    <row r="1987" spans="1:6">
      <c r="A1987" s="403">
        <v>3695</v>
      </c>
      <c r="B1987" s="403">
        <v>19</v>
      </c>
      <c r="C1987" s="166">
        <v>2031</v>
      </c>
      <c r="D1987" s="166">
        <v>194</v>
      </c>
      <c r="E1987" s="166" t="s">
        <v>1107</v>
      </c>
      <c r="F1987" s="166">
        <v>171.27055803571511</v>
      </c>
    </row>
    <row r="1988" spans="1:6">
      <c r="A1988" s="403">
        <v>3697</v>
      </c>
      <c r="B1988" s="403">
        <v>19</v>
      </c>
      <c r="C1988" s="166">
        <v>2031</v>
      </c>
      <c r="D1988" s="166">
        <v>194</v>
      </c>
      <c r="E1988" s="166" t="s">
        <v>1107</v>
      </c>
      <c r="F1988" s="166">
        <v>171.27055803571511</v>
      </c>
    </row>
    <row r="1989" spans="1:6">
      <c r="A1989" s="403">
        <v>3698</v>
      </c>
      <c r="B1989" s="403">
        <v>19</v>
      </c>
      <c r="C1989" s="166">
        <v>2031</v>
      </c>
      <c r="D1989" s="166">
        <v>194</v>
      </c>
      <c r="E1989" s="166" t="s">
        <v>1107</v>
      </c>
      <c r="F1989" s="166">
        <v>171.27055803571511</v>
      </c>
    </row>
    <row r="1990" spans="1:6">
      <c r="A1990" s="403">
        <v>3699</v>
      </c>
      <c r="B1990" s="403">
        <v>19</v>
      </c>
      <c r="C1990" s="166">
        <v>2031</v>
      </c>
      <c r="D1990" s="166">
        <v>194</v>
      </c>
      <c r="E1990" s="166" t="s">
        <v>1107</v>
      </c>
      <c r="F1990" s="166">
        <v>171.27055803571511</v>
      </c>
    </row>
    <row r="1991" spans="1:6">
      <c r="A1991" s="403">
        <v>3700</v>
      </c>
      <c r="B1991" s="403">
        <v>19</v>
      </c>
      <c r="C1991" s="166">
        <v>2031</v>
      </c>
      <c r="D1991" s="166">
        <v>194</v>
      </c>
      <c r="E1991" s="166" t="s">
        <v>1107</v>
      </c>
      <c r="F1991" s="166">
        <v>171.27055803571511</v>
      </c>
    </row>
    <row r="1992" spans="1:6">
      <c r="A1992" s="403">
        <v>3701</v>
      </c>
      <c r="B1992" s="403">
        <v>19</v>
      </c>
      <c r="C1992" s="166">
        <v>2031</v>
      </c>
      <c r="D1992" s="166">
        <v>194</v>
      </c>
      <c r="E1992" s="166" t="s">
        <v>1107</v>
      </c>
      <c r="F1992" s="166">
        <v>171.27055803571511</v>
      </c>
    </row>
    <row r="1993" spans="1:6">
      <c r="A1993" s="403">
        <v>3704</v>
      </c>
      <c r="B1993" s="403">
        <v>19</v>
      </c>
      <c r="C1993" s="166">
        <v>2031</v>
      </c>
      <c r="D1993" s="166">
        <v>194</v>
      </c>
      <c r="E1993" s="166" t="s">
        <v>1107</v>
      </c>
      <c r="F1993" s="166">
        <v>171.27055803571511</v>
      </c>
    </row>
    <row r="1994" spans="1:6">
      <c r="A1994" s="403">
        <v>3705</v>
      </c>
      <c r="B1994" s="403">
        <v>19</v>
      </c>
      <c r="C1994" s="166">
        <v>2031</v>
      </c>
      <c r="D1994" s="166">
        <v>194</v>
      </c>
      <c r="E1994" s="166" t="s">
        <v>1107</v>
      </c>
      <c r="F1994" s="166">
        <v>171.27055803571511</v>
      </c>
    </row>
    <row r="1995" spans="1:6">
      <c r="A1995" s="403">
        <v>3707</v>
      </c>
      <c r="B1995" s="403">
        <v>19</v>
      </c>
      <c r="C1995" s="166">
        <v>2031</v>
      </c>
      <c r="D1995" s="166">
        <v>194</v>
      </c>
      <c r="E1995" s="166" t="s">
        <v>1107</v>
      </c>
      <c r="F1995" s="166">
        <v>171.27055803571511</v>
      </c>
    </row>
    <row r="1996" spans="1:6">
      <c r="A1996" s="403">
        <v>3708</v>
      </c>
      <c r="B1996" s="403">
        <v>19</v>
      </c>
      <c r="C1996" s="166">
        <v>2031</v>
      </c>
      <c r="D1996" s="166">
        <v>194</v>
      </c>
      <c r="E1996" s="166" t="s">
        <v>1107</v>
      </c>
      <c r="F1996" s="166">
        <v>171.27055803571511</v>
      </c>
    </row>
    <row r="1997" spans="1:6">
      <c r="A1997" s="403">
        <v>3709</v>
      </c>
      <c r="B1997" s="403">
        <v>19</v>
      </c>
      <c r="C1997" s="166">
        <v>2031</v>
      </c>
      <c r="D1997" s="166">
        <v>194</v>
      </c>
      <c r="E1997" s="166" t="s">
        <v>1107</v>
      </c>
      <c r="F1997" s="166">
        <v>171.27055803571511</v>
      </c>
    </row>
    <row r="1998" spans="1:6">
      <c r="A1998" s="403">
        <v>3711</v>
      </c>
      <c r="B1998" s="403">
        <v>17</v>
      </c>
      <c r="C1998" s="166">
        <v>1846</v>
      </c>
      <c r="D1998" s="166">
        <v>145</v>
      </c>
      <c r="E1998" s="166" t="s">
        <v>1107</v>
      </c>
      <c r="F1998" s="166">
        <v>179.06961105052642</v>
      </c>
    </row>
    <row r="1999" spans="1:6">
      <c r="A1999" s="403">
        <v>3712</v>
      </c>
      <c r="B1999" s="403">
        <v>17</v>
      </c>
      <c r="C1999" s="166">
        <v>1846</v>
      </c>
      <c r="D1999" s="166">
        <v>145</v>
      </c>
      <c r="E1999" s="166" t="s">
        <v>1107</v>
      </c>
      <c r="F1999" s="166">
        <v>179.06961105052642</v>
      </c>
    </row>
    <row r="2000" spans="1:6">
      <c r="A2000" s="403">
        <v>3713</v>
      </c>
      <c r="B2000" s="403">
        <v>17</v>
      </c>
      <c r="C2000" s="166">
        <v>1846</v>
      </c>
      <c r="D2000" s="166">
        <v>145</v>
      </c>
      <c r="E2000" s="166" t="s">
        <v>1107</v>
      </c>
      <c r="F2000" s="166">
        <v>179.06961105052642</v>
      </c>
    </row>
    <row r="2001" spans="1:6">
      <c r="A2001" s="403">
        <v>3714</v>
      </c>
      <c r="B2001" s="403">
        <v>17</v>
      </c>
      <c r="C2001" s="166">
        <v>1846</v>
      </c>
      <c r="D2001" s="166">
        <v>145</v>
      </c>
      <c r="E2001" s="166" t="s">
        <v>1107</v>
      </c>
      <c r="F2001" s="166">
        <v>179.06961105052642</v>
      </c>
    </row>
    <row r="2002" spans="1:6">
      <c r="A2002" s="403">
        <v>3715</v>
      </c>
      <c r="B2002" s="403">
        <v>17</v>
      </c>
      <c r="C2002" s="166">
        <v>1846</v>
      </c>
      <c r="D2002" s="166">
        <v>145</v>
      </c>
      <c r="E2002" s="166" t="s">
        <v>1107</v>
      </c>
      <c r="F2002" s="166">
        <v>179.06961105052642</v>
      </c>
    </row>
    <row r="2003" spans="1:6">
      <c r="A2003" s="403">
        <v>3717</v>
      </c>
      <c r="B2003" s="403">
        <v>17</v>
      </c>
      <c r="C2003" s="166">
        <v>1846</v>
      </c>
      <c r="D2003" s="166">
        <v>145</v>
      </c>
      <c r="E2003" s="166" t="s">
        <v>1107</v>
      </c>
      <c r="F2003" s="166">
        <v>179.06961105052642</v>
      </c>
    </row>
    <row r="2004" spans="1:6">
      <c r="A2004" s="403">
        <v>3718</v>
      </c>
      <c r="B2004" s="403">
        <v>17</v>
      </c>
      <c r="C2004" s="166">
        <v>1846</v>
      </c>
      <c r="D2004" s="166">
        <v>145</v>
      </c>
      <c r="E2004" s="166" t="s">
        <v>1107</v>
      </c>
      <c r="F2004" s="166">
        <v>179.06961105052642</v>
      </c>
    </row>
    <row r="2005" spans="1:6">
      <c r="A2005" s="403">
        <v>3719</v>
      </c>
      <c r="B2005" s="403">
        <v>17</v>
      </c>
      <c r="C2005" s="166">
        <v>1846</v>
      </c>
      <c r="D2005" s="166">
        <v>145</v>
      </c>
      <c r="E2005" s="166" t="s">
        <v>1107</v>
      </c>
      <c r="F2005" s="166">
        <v>179.06961105052642</v>
      </c>
    </row>
    <row r="2006" spans="1:6">
      <c r="A2006" s="403">
        <v>3720</v>
      </c>
      <c r="B2006" s="403">
        <v>17</v>
      </c>
      <c r="C2006" s="166">
        <v>1846</v>
      </c>
      <c r="D2006" s="166">
        <v>145</v>
      </c>
      <c r="E2006" s="166" t="s">
        <v>1107</v>
      </c>
      <c r="F2006" s="166">
        <v>179.06961105052642</v>
      </c>
    </row>
    <row r="2007" spans="1:6">
      <c r="A2007" s="403">
        <v>3722</v>
      </c>
      <c r="B2007" s="403">
        <v>19</v>
      </c>
      <c r="C2007" s="166">
        <v>2031</v>
      </c>
      <c r="D2007" s="166">
        <v>194</v>
      </c>
      <c r="E2007" s="166" t="s">
        <v>1107</v>
      </c>
      <c r="F2007" s="166">
        <v>171.27055803571511</v>
      </c>
    </row>
    <row r="2008" spans="1:6">
      <c r="A2008" s="403">
        <v>3723</v>
      </c>
      <c r="B2008" s="403">
        <v>19</v>
      </c>
      <c r="C2008" s="166">
        <v>2031</v>
      </c>
      <c r="D2008" s="166">
        <v>194</v>
      </c>
      <c r="E2008" s="166" t="s">
        <v>1107</v>
      </c>
      <c r="F2008" s="166">
        <v>171.27055803571511</v>
      </c>
    </row>
    <row r="2009" spans="1:6">
      <c r="A2009" s="403">
        <v>3724</v>
      </c>
      <c r="B2009" s="403">
        <v>19</v>
      </c>
      <c r="C2009" s="166">
        <v>2031</v>
      </c>
      <c r="D2009" s="166">
        <v>194</v>
      </c>
      <c r="E2009" s="166" t="s">
        <v>1107</v>
      </c>
      <c r="F2009" s="166">
        <v>171.27055803571511</v>
      </c>
    </row>
    <row r="2010" spans="1:6">
      <c r="A2010" s="403">
        <v>3725</v>
      </c>
      <c r="B2010" s="403">
        <v>16</v>
      </c>
      <c r="C2010" s="166">
        <v>1595</v>
      </c>
      <c r="D2010" s="166">
        <v>248</v>
      </c>
      <c r="E2010" s="166" t="s">
        <v>1107</v>
      </c>
      <c r="F2010" s="166">
        <v>1117.5294847775194</v>
      </c>
    </row>
    <row r="2011" spans="1:6">
      <c r="A2011" s="403">
        <v>3726</v>
      </c>
      <c r="B2011" s="403">
        <v>16</v>
      </c>
      <c r="C2011" s="166">
        <v>1595</v>
      </c>
      <c r="D2011" s="166">
        <v>248</v>
      </c>
      <c r="E2011" s="166" t="s">
        <v>1107</v>
      </c>
      <c r="F2011" s="166">
        <v>1117.5294847775194</v>
      </c>
    </row>
    <row r="2012" spans="1:6">
      <c r="A2012" s="403">
        <v>3727</v>
      </c>
      <c r="B2012" s="403">
        <v>16</v>
      </c>
      <c r="C2012" s="166">
        <v>1595</v>
      </c>
      <c r="D2012" s="166">
        <v>248</v>
      </c>
      <c r="E2012" s="166" t="s">
        <v>1107</v>
      </c>
      <c r="F2012" s="166">
        <v>1117.5294847775194</v>
      </c>
    </row>
    <row r="2013" spans="1:6">
      <c r="A2013" s="403">
        <v>3728</v>
      </c>
      <c r="B2013" s="403">
        <v>16</v>
      </c>
      <c r="C2013" s="166">
        <v>1595</v>
      </c>
      <c r="D2013" s="166">
        <v>248</v>
      </c>
      <c r="E2013" s="166" t="s">
        <v>1107</v>
      </c>
      <c r="F2013" s="166">
        <v>1117.5294847775194</v>
      </c>
    </row>
    <row r="2014" spans="1:6">
      <c r="A2014" s="403">
        <v>3730</v>
      </c>
      <c r="B2014" s="403">
        <v>16</v>
      </c>
      <c r="C2014" s="166">
        <v>1595</v>
      </c>
      <c r="D2014" s="166">
        <v>248</v>
      </c>
      <c r="E2014" s="166" t="s">
        <v>1107</v>
      </c>
      <c r="F2014" s="166">
        <v>1117.5294847775194</v>
      </c>
    </row>
    <row r="2015" spans="1:6">
      <c r="A2015" s="403">
        <v>3732</v>
      </c>
      <c r="B2015" s="403">
        <v>19</v>
      </c>
      <c r="C2015" s="166">
        <v>2031</v>
      </c>
      <c r="D2015" s="166">
        <v>194</v>
      </c>
      <c r="E2015" s="166" t="s">
        <v>1107</v>
      </c>
      <c r="F2015" s="166">
        <v>171.27055803571511</v>
      </c>
    </row>
    <row r="2016" spans="1:6">
      <c r="A2016" s="403">
        <v>3733</v>
      </c>
      <c r="B2016" s="403">
        <v>19</v>
      </c>
      <c r="C2016" s="166">
        <v>2031</v>
      </c>
      <c r="D2016" s="166">
        <v>194</v>
      </c>
      <c r="E2016" s="166" t="s">
        <v>1107</v>
      </c>
      <c r="F2016" s="166">
        <v>171.27055803571511</v>
      </c>
    </row>
    <row r="2017" spans="1:6">
      <c r="A2017" s="403">
        <v>3735</v>
      </c>
      <c r="B2017" s="403">
        <v>19</v>
      </c>
      <c r="C2017" s="166">
        <v>2031</v>
      </c>
      <c r="D2017" s="166">
        <v>194</v>
      </c>
      <c r="E2017" s="166" t="s">
        <v>1107</v>
      </c>
      <c r="F2017" s="166">
        <v>171.27055803571511</v>
      </c>
    </row>
    <row r="2018" spans="1:6">
      <c r="A2018" s="403">
        <v>3736</v>
      </c>
      <c r="B2018" s="403">
        <v>19</v>
      </c>
      <c r="C2018" s="166">
        <v>2031</v>
      </c>
      <c r="D2018" s="166">
        <v>194</v>
      </c>
      <c r="E2018" s="166" t="s">
        <v>1107</v>
      </c>
      <c r="F2018" s="166">
        <v>171.27055803571511</v>
      </c>
    </row>
    <row r="2019" spans="1:6">
      <c r="A2019" s="403">
        <v>3737</v>
      </c>
      <c r="B2019" s="403">
        <v>19</v>
      </c>
      <c r="C2019" s="166">
        <v>2031</v>
      </c>
      <c r="D2019" s="166">
        <v>194</v>
      </c>
      <c r="E2019" s="166" t="s">
        <v>1107</v>
      </c>
      <c r="F2019" s="166">
        <v>171.27055803571511</v>
      </c>
    </row>
    <row r="2020" spans="1:6">
      <c r="A2020" s="403">
        <v>3738</v>
      </c>
      <c r="B2020" s="403">
        <v>19</v>
      </c>
      <c r="C2020" s="166">
        <v>2031</v>
      </c>
      <c r="D2020" s="166">
        <v>194</v>
      </c>
      <c r="E2020" s="166" t="s">
        <v>1107</v>
      </c>
      <c r="F2020" s="166">
        <v>171.27055803571511</v>
      </c>
    </row>
    <row r="2021" spans="1:6">
      <c r="A2021" s="403">
        <v>3739</v>
      </c>
      <c r="B2021" s="403">
        <v>19</v>
      </c>
      <c r="C2021" s="166">
        <v>2031</v>
      </c>
      <c r="D2021" s="166">
        <v>194</v>
      </c>
      <c r="E2021" s="166" t="s">
        <v>1107</v>
      </c>
      <c r="F2021" s="166">
        <v>171.27055803571511</v>
      </c>
    </row>
    <row r="2022" spans="1:6">
      <c r="A2022" s="403">
        <v>3740</v>
      </c>
      <c r="B2022" s="403">
        <v>19</v>
      </c>
      <c r="C2022" s="166">
        <v>2031</v>
      </c>
      <c r="D2022" s="166">
        <v>194</v>
      </c>
      <c r="E2022" s="166" t="s">
        <v>1107</v>
      </c>
      <c r="F2022" s="166">
        <v>171.27055803571511</v>
      </c>
    </row>
    <row r="2023" spans="1:6">
      <c r="A2023" s="403">
        <v>3741</v>
      </c>
      <c r="B2023" s="403">
        <v>19</v>
      </c>
      <c r="C2023" s="166">
        <v>2031</v>
      </c>
      <c r="D2023" s="166">
        <v>194</v>
      </c>
      <c r="E2023" s="166" t="s">
        <v>1107</v>
      </c>
      <c r="F2023" s="166">
        <v>171.27055803571511</v>
      </c>
    </row>
    <row r="2024" spans="1:6">
      <c r="A2024" s="403">
        <v>3744</v>
      </c>
      <c r="B2024" s="403">
        <v>19</v>
      </c>
      <c r="C2024" s="166">
        <v>2031</v>
      </c>
      <c r="D2024" s="166">
        <v>194</v>
      </c>
      <c r="E2024" s="166" t="s">
        <v>1107</v>
      </c>
      <c r="F2024" s="166">
        <v>171.27055803571511</v>
      </c>
    </row>
    <row r="2025" spans="1:6">
      <c r="A2025" s="403">
        <v>3746</v>
      </c>
      <c r="B2025" s="403">
        <v>19</v>
      </c>
      <c r="C2025" s="166">
        <v>2031</v>
      </c>
      <c r="D2025" s="166">
        <v>194</v>
      </c>
      <c r="E2025" s="166" t="s">
        <v>1107</v>
      </c>
      <c r="F2025" s="166">
        <v>171.27055803571511</v>
      </c>
    </row>
    <row r="2026" spans="1:6">
      <c r="A2026" s="403">
        <v>3747</v>
      </c>
      <c r="B2026" s="403">
        <v>19</v>
      </c>
      <c r="C2026" s="166">
        <v>2031</v>
      </c>
      <c r="D2026" s="166">
        <v>194</v>
      </c>
      <c r="E2026" s="166" t="s">
        <v>1107</v>
      </c>
      <c r="F2026" s="166">
        <v>171.27055803571511</v>
      </c>
    </row>
    <row r="2027" spans="1:6">
      <c r="A2027" s="403">
        <v>3749</v>
      </c>
      <c r="B2027" s="403">
        <v>19</v>
      </c>
      <c r="C2027" s="166">
        <v>2031</v>
      </c>
      <c r="D2027" s="166">
        <v>194</v>
      </c>
      <c r="E2027" s="166" t="s">
        <v>1107</v>
      </c>
      <c r="F2027" s="166">
        <v>171.27055803571511</v>
      </c>
    </row>
    <row r="2028" spans="1:6">
      <c r="A2028" s="403">
        <v>3750</v>
      </c>
      <c r="B2028" s="403">
        <v>18</v>
      </c>
      <c r="C2028" s="166">
        <v>1590</v>
      </c>
      <c r="D2028" s="166">
        <v>100</v>
      </c>
      <c r="E2028" s="166" t="s">
        <v>1107</v>
      </c>
      <c r="F2028" s="166">
        <v>769.37262842144253</v>
      </c>
    </row>
    <row r="2029" spans="1:6">
      <c r="A2029" s="403">
        <v>3751</v>
      </c>
      <c r="B2029" s="403">
        <v>17</v>
      </c>
      <c r="C2029" s="166">
        <v>1846</v>
      </c>
      <c r="D2029" s="166">
        <v>145</v>
      </c>
      <c r="E2029" s="166" t="s">
        <v>1107</v>
      </c>
      <c r="F2029" s="166">
        <v>179.06961105052642</v>
      </c>
    </row>
    <row r="2030" spans="1:6">
      <c r="A2030" s="403">
        <v>3752</v>
      </c>
      <c r="B2030" s="403">
        <v>18</v>
      </c>
      <c r="C2030" s="166">
        <v>1590</v>
      </c>
      <c r="D2030" s="166">
        <v>100</v>
      </c>
      <c r="E2030" s="166" t="s">
        <v>1107</v>
      </c>
      <c r="F2030" s="166">
        <v>769.37262842144253</v>
      </c>
    </row>
    <row r="2031" spans="1:6">
      <c r="A2031" s="403">
        <v>3753</v>
      </c>
      <c r="B2031" s="403">
        <v>17</v>
      </c>
      <c r="C2031" s="166">
        <v>1846</v>
      </c>
      <c r="D2031" s="166">
        <v>145</v>
      </c>
      <c r="E2031" s="166" t="s">
        <v>1107</v>
      </c>
      <c r="F2031" s="166">
        <v>179.06961105052642</v>
      </c>
    </row>
    <row r="2032" spans="1:6">
      <c r="A2032" s="403">
        <v>3754</v>
      </c>
      <c r="B2032" s="403">
        <v>18</v>
      </c>
      <c r="C2032" s="166">
        <v>1590</v>
      </c>
      <c r="D2032" s="166">
        <v>100</v>
      </c>
      <c r="E2032" s="166" t="s">
        <v>1107</v>
      </c>
      <c r="F2032" s="166">
        <v>769.37262842144253</v>
      </c>
    </row>
    <row r="2033" spans="1:6">
      <c r="A2033" s="403">
        <v>3755</v>
      </c>
      <c r="B2033" s="403">
        <v>18</v>
      </c>
      <c r="C2033" s="166">
        <v>1590</v>
      </c>
      <c r="D2033" s="166">
        <v>100</v>
      </c>
      <c r="E2033" s="166" t="s">
        <v>1107</v>
      </c>
      <c r="F2033" s="166">
        <v>769.37262842144253</v>
      </c>
    </row>
    <row r="2034" spans="1:6">
      <c r="A2034" s="403">
        <v>3756</v>
      </c>
      <c r="B2034" s="403">
        <v>17</v>
      </c>
      <c r="C2034" s="166">
        <v>1846</v>
      </c>
      <c r="D2034" s="166">
        <v>145</v>
      </c>
      <c r="E2034" s="166" t="s">
        <v>1107</v>
      </c>
      <c r="F2034" s="166">
        <v>179.06961105052642</v>
      </c>
    </row>
    <row r="2035" spans="1:6">
      <c r="A2035" s="403">
        <v>3757</v>
      </c>
      <c r="B2035" s="403">
        <v>17</v>
      </c>
      <c r="C2035" s="166">
        <v>1846</v>
      </c>
      <c r="D2035" s="166">
        <v>145</v>
      </c>
      <c r="E2035" s="166" t="s">
        <v>1107</v>
      </c>
      <c r="F2035" s="166">
        <v>179.06961105052642</v>
      </c>
    </row>
    <row r="2036" spans="1:6">
      <c r="A2036" s="403">
        <v>3758</v>
      </c>
      <c r="B2036" s="403">
        <v>17</v>
      </c>
      <c r="C2036" s="166">
        <v>1846</v>
      </c>
      <c r="D2036" s="166">
        <v>145</v>
      </c>
      <c r="E2036" s="166" t="s">
        <v>1107</v>
      </c>
      <c r="F2036" s="166">
        <v>179.06961105052642</v>
      </c>
    </row>
    <row r="2037" spans="1:6">
      <c r="A2037" s="403">
        <v>3759</v>
      </c>
      <c r="B2037" s="403">
        <v>18</v>
      </c>
      <c r="C2037" s="166">
        <v>1590</v>
      </c>
      <c r="D2037" s="166">
        <v>100</v>
      </c>
      <c r="E2037" s="166" t="s">
        <v>1107</v>
      </c>
      <c r="F2037" s="166">
        <v>769.37262842144253</v>
      </c>
    </row>
    <row r="2038" spans="1:6">
      <c r="A2038" s="403">
        <v>3760</v>
      </c>
      <c r="B2038" s="403">
        <v>18</v>
      </c>
      <c r="C2038" s="166">
        <v>1590</v>
      </c>
      <c r="D2038" s="166">
        <v>100</v>
      </c>
      <c r="E2038" s="166" t="s">
        <v>1107</v>
      </c>
      <c r="F2038" s="166">
        <v>769.37262842144253</v>
      </c>
    </row>
    <row r="2039" spans="1:6">
      <c r="A2039" s="403">
        <v>3761</v>
      </c>
      <c r="B2039" s="403">
        <v>18</v>
      </c>
      <c r="C2039" s="166">
        <v>1590</v>
      </c>
      <c r="D2039" s="166">
        <v>100</v>
      </c>
      <c r="E2039" s="166" t="s">
        <v>1107</v>
      </c>
      <c r="F2039" s="166">
        <v>769.37262842144253</v>
      </c>
    </row>
    <row r="2040" spans="1:6">
      <c r="A2040" s="403">
        <v>3762</v>
      </c>
      <c r="B2040" s="403">
        <v>18</v>
      </c>
      <c r="C2040" s="166">
        <v>1590</v>
      </c>
      <c r="D2040" s="166">
        <v>100</v>
      </c>
      <c r="E2040" s="166" t="s">
        <v>1107</v>
      </c>
      <c r="F2040" s="166">
        <v>769.37262842144253</v>
      </c>
    </row>
    <row r="2041" spans="1:6">
      <c r="A2041" s="403">
        <v>3763</v>
      </c>
      <c r="B2041" s="403">
        <v>18</v>
      </c>
      <c r="C2041" s="166">
        <v>1590</v>
      </c>
      <c r="D2041" s="166">
        <v>100</v>
      </c>
      <c r="E2041" s="166" t="s">
        <v>1107</v>
      </c>
      <c r="F2041" s="166">
        <v>769.37262842144253</v>
      </c>
    </row>
    <row r="2042" spans="1:6">
      <c r="A2042" s="403">
        <v>3764</v>
      </c>
      <c r="B2042" s="403">
        <v>17</v>
      </c>
      <c r="C2042" s="166">
        <v>1846</v>
      </c>
      <c r="D2042" s="166">
        <v>145</v>
      </c>
      <c r="E2042" s="166" t="s">
        <v>1107</v>
      </c>
      <c r="F2042" s="166">
        <v>179.06961105052642</v>
      </c>
    </row>
    <row r="2043" spans="1:6">
      <c r="A2043" s="403">
        <v>3765</v>
      </c>
      <c r="B2043" s="403">
        <v>18</v>
      </c>
      <c r="C2043" s="166">
        <v>1590</v>
      </c>
      <c r="D2043" s="166">
        <v>100</v>
      </c>
      <c r="E2043" s="166" t="s">
        <v>1107</v>
      </c>
      <c r="F2043" s="166">
        <v>769.37262842144253</v>
      </c>
    </row>
    <row r="2044" spans="1:6">
      <c r="A2044" s="403">
        <v>3766</v>
      </c>
      <c r="B2044" s="403">
        <v>18</v>
      </c>
      <c r="C2044" s="166">
        <v>1590</v>
      </c>
      <c r="D2044" s="166">
        <v>100</v>
      </c>
      <c r="E2044" s="166" t="s">
        <v>1107</v>
      </c>
      <c r="F2044" s="166">
        <v>769.37262842144253</v>
      </c>
    </row>
    <row r="2045" spans="1:6">
      <c r="A2045" s="403">
        <v>3767</v>
      </c>
      <c r="B2045" s="403">
        <v>18</v>
      </c>
      <c r="C2045" s="166">
        <v>1590</v>
      </c>
      <c r="D2045" s="166">
        <v>100</v>
      </c>
      <c r="E2045" s="166" t="s">
        <v>1107</v>
      </c>
      <c r="F2045" s="166">
        <v>769.37262842144253</v>
      </c>
    </row>
    <row r="2046" spans="1:6">
      <c r="A2046" s="403">
        <v>3770</v>
      </c>
      <c r="B2046" s="403">
        <v>18</v>
      </c>
      <c r="C2046" s="166">
        <v>1590</v>
      </c>
      <c r="D2046" s="166">
        <v>100</v>
      </c>
      <c r="E2046" s="166" t="s">
        <v>1107</v>
      </c>
      <c r="F2046" s="166">
        <v>769.37262842144253</v>
      </c>
    </row>
    <row r="2047" spans="1:6">
      <c r="A2047" s="403">
        <v>3775</v>
      </c>
      <c r="B2047" s="403">
        <v>18</v>
      </c>
      <c r="C2047" s="166">
        <v>1590</v>
      </c>
      <c r="D2047" s="166">
        <v>100</v>
      </c>
      <c r="E2047" s="166" t="s">
        <v>1107</v>
      </c>
      <c r="F2047" s="166">
        <v>769.37262842144253</v>
      </c>
    </row>
    <row r="2048" spans="1:6">
      <c r="A2048" s="403">
        <v>3777</v>
      </c>
      <c r="B2048" s="403">
        <v>18</v>
      </c>
      <c r="C2048" s="166">
        <v>1590</v>
      </c>
      <c r="D2048" s="166">
        <v>100</v>
      </c>
      <c r="E2048" s="166" t="s">
        <v>1107</v>
      </c>
      <c r="F2048" s="166">
        <v>769.37262842144253</v>
      </c>
    </row>
    <row r="2049" spans="1:6">
      <c r="A2049" s="403">
        <v>3778</v>
      </c>
      <c r="B2049" s="403">
        <v>18</v>
      </c>
      <c r="C2049" s="166">
        <v>1590</v>
      </c>
      <c r="D2049" s="166">
        <v>100</v>
      </c>
      <c r="E2049" s="166" t="s">
        <v>1107</v>
      </c>
      <c r="F2049" s="166">
        <v>769.37262842144253</v>
      </c>
    </row>
    <row r="2050" spans="1:6">
      <c r="A2050" s="403">
        <v>3779</v>
      </c>
      <c r="B2050" s="403">
        <v>18</v>
      </c>
      <c r="C2050" s="166">
        <v>1590</v>
      </c>
      <c r="D2050" s="166">
        <v>100</v>
      </c>
      <c r="E2050" s="166" t="s">
        <v>1107</v>
      </c>
      <c r="F2050" s="166">
        <v>769.37262842144253</v>
      </c>
    </row>
    <row r="2051" spans="1:6">
      <c r="A2051" s="403">
        <v>3781</v>
      </c>
      <c r="B2051" s="403">
        <v>18</v>
      </c>
      <c r="C2051" s="166">
        <v>1590</v>
      </c>
      <c r="D2051" s="166">
        <v>100</v>
      </c>
      <c r="E2051" s="166" t="s">
        <v>1107</v>
      </c>
      <c r="F2051" s="166">
        <v>769.37262842144253</v>
      </c>
    </row>
    <row r="2052" spans="1:6">
      <c r="A2052" s="403">
        <v>3782</v>
      </c>
      <c r="B2052" s="403">
        <v>18</v>
      </c>
      <c r="C2052" s="166">
        <v>1590</v>
      </c>
      <c r="D2052" s="166">
        <v>100</v>
      </c>
      <c r="E2052" s="166" t="s">
        <v>1107</v>
      </c>
      <c r="F2052" s="166">
        <v>769.37262842144253</v>
      </c>
    </row>
    <row r="2053" spans="1:6">
      <c r="A2053" s="403">
        <v>3783</v>
      </c>
      <c r="B2053" s="403">
        <v>18</v>
      </c>
      <c r="C2053" s="166">
        <v>1590</v>
      </c>
      <c r="D2053" s="166">
        <v>100</v>
      </c>
      <c r="E2053" s="166" t="s">
        <v>1107</v>
      </c>
      <c r="F2053" s="166">
        <v>769.37262842144253</v>
      </c>
    </row>
    <row r="2054" spans="1:6">
      <c r="A2054" s="403">
        <v>3785</v>
      </c>
      <c r="B2054" s="403">
        <v>18</v>
      </c>
      <c r="C2054" s="166">
        <v>1590</v>
      </c>
      <c r="D2054" s="166">
        <v>100</v>
      </c>
      <c r="E2054" s="166" t="s">
        <v>1107</v>
      </c>
      <c r="F2054" s="166">
        <v>769.37262842144253</v>
      </c>
    </row>
    <row r="2055" spans="1:6">
      <c r="A2055" s="403">
        <v>3786</v>
      </c>
      <c r="B2055" s="403">
        <v>18</v>
      </c>
      <c r="C2055" s="166">
        <v>1590</v>
      </c>
      <c r="D2055" s="166">
        <v>100</v>
      </c>
      <c r="E2055" s="166" t="s">
        <v>1107</v>
      </c>
      <c r="F2055" s="166">
        <v>769.37262842144253</v>
      </c>
    </row>
    <row r="2056" spans="1:6">
      <c r="A2056" s="403">
        <v>3787</v>
      </c>
      <c r="B2056" s="403">
        <v>18</v>
      </c>
      <c r="C2056" s="166">
        <v>1590</v>
      </c>
      <c r="D2056" s="166">
        <v>100</v>
      </c>
      <c r="E2056" s="166" t="s">
        <v>1107</v>
      </c>
      <c r="F2056" s="166">
        <v>769.37262842144253</v>
      </c>
    </row>
    <row r="2057" spans="1:6">
      <c r="A2057" s="403">
        <v>3788</v>
      </c>
      <c r="B2057" s="403">
        <v>18</v>
      </c>
      <c r="C2057" s="166">
        <v>1590</v>
      </c>
      <c r="D2057" s="166">
        <v>100</v>
      </c>
      <c r="E2057" s="166" t="s">
        <v>1107</v>
      </c>
      <c r="F2057" s="166">
        <v>769.37262842144253</v>
      </c>
    </row>
    <row r="2058" spans="1:6">
      <c r="A2058" s="403">
        <v>3789</v>
      </c>
      <c r="B2058" s="403">
        <v>18</v>
      </c>
      <c r="C2058" s="166">
        <v>1590</v>
      </c>
      <c r="D2058" s="166">
        <v>100</v>
      </c>
      <c r="E2058" s="166" t="s">
        <v>1107</v>
      </c>
      <c r="F2058" s="166">
        <v>769.37262842144253</v>
      </c>
    </row>
    <row r="2059" spans="1:6">
      <c r="A2059" s="403">
        <v>3791</v>
      </c>
      <c r="B2059" s="403">
        <v>18</v>
      </c>
      <c r="C2059" s="166">
        <v>1590</v>
      </c>
      <c r="D2059" s="166">
        <v>100</v>
      </c>
      <c r="E2059" s="166" t="s">
        <v>1107</v>
      </c>
      <c r="F2059" s="166">
        <v>769.37262842144253</v>
      </c>
    </row>
    <row r="2060" spans="1:6">
      <c r="A2060" s="403">
        <v>3792</v>
      </c>
      <c r="B2060" s="403">
        <v>18</v>
      </c>
      <c r="C2060" s="166">
        <v>1590</v>
      </c>
      <c r="D2060" s="166">
        <v>100</v>
      </c>
      <c r="E2060" s="166" t="s">
        <v>1107</v>
      </c>
      <c r="F2060" s="166">
        <v>769.37262842144253</v>
      </c>
    </row>
    <row r="2061" spans="1:6">
      <c r="A2061" s="403">
        <v>3793</v>
      </c>
      <c r="B2061" s="403">
        <v>18</v>
      </c>
      <c r="C2061" s="166">
        <v>1590</v>
      </c>
      <c r="D2061" s="166">
        <v>100</v>
      </c>
      <c r="E2061" s="166" t="s">
        <v>1107</v>
      </c>
      <c r="F2061" s="166">
        <v>769.37262842144253</v>
      </c>
    </row>
    <row r="2062" spans="1:6">
      <c r="A2062" s="403">
        <v>3795</v>
      </c>
      <c r="B2062" s="403">
        <v>18</v>
      </c>
      <c r="C2062" s="166">
        <v>1590</v>
      </c>
      <c r="D2062" s="166">
        <v>100</v>
      </c>
      <c r="E2062" s="166" t="s">
        <v>1107</v>
      </c>
      <c r="F2062" s="166">
        <v>769.37262842144253</v>
      </c>
    </row>
    <row r="2063" spans="1:6">
      <c r="A2063" s="403">
        <v>3796</v>
      </c>
      <c r="B2063" s="403">
        <v>18</v>
      </c>
      <c r="C2063" s="166">
        <v>1590</v>
      </c>
      <c r="D2063" s="166">
        <v>100</v>
      </c>
      <c r="E2063" s="166" t="s">
        <v>1107</v>
      </c>
      <c r="F2063" s="166">
        <v>769.37262842144253</v>
      </c>
    </row>
    <row r="2064" spans="1:6">
      <c r="A2064" s="403">
        <v>3797</v>
      </c>
      <c r="B2064" s="403">
        <v>18</v>
      </c>
      <c r="C2064" s="166">
        <v>1590</v>
      </c>
      <c r="D2064" s="166">
        <v>100</v>
      </c>
      <c r="E2064" s="166" t="s">
        <v>1107</v>
      </c>
      <c r="F2064" s="166">
        <v>769.37262842144253</v>
      </c>
    </row>
    <row r="2065" spans="1:6">
      <c r="A2065" s="403">
        <v>3799</v>
      </c>
      <c r="B2065" s="403">
        <v>18</v>
      </c>
      <c r="C2065" s="166">
        <v>1590</v>
      </c>
      <c r="D2065" s="166">
        <v>100</v>
      </c>
      <c r="E2065" s="166" t="s">
        <v>1107</v>
      </c>
      <c r="F2065" s="166">
        <v>769.37262842144253</v>
      </c>
    </row>
    <row r="2066" spans="1:6">
      <c r="A2066" s="403">
        <v>3800</v>
      </c>
      <c r="B2066" s="403">
        <v>18</v>
      </c>
      <c r="C2066" s="166">
        <v>1590</v>
      </c>
      <c r="D2066" s="166">
        <v>100</v>
      </c>
      <c r="E2066" s="166" t="s">
        <v>1107</v>
      </c>
      <c r="F2066" s="166">
        <v>769.37262842144253</v>
      </c>
    </row>
    <row r="2067" spans="1:6">
      <c r="A2067" s="403">
        <v>3802</v>
      </c>
      <c r="B2067" s="403">
        <v>18</v>
      </c>
      <c r="C2067" s="166">
        <v>1590</v>
      </c>
      <c r="D2067" s="166">
        <v>100</v>
      </c>
      <c r="E2067" s="166" t="s">
        <v>1107</v>
      </c>
      <c r="F2067" s="166">
        <v>769.37262842144253</v>
      </c>
    </row>
    <row r="2068" spans="1:6">
      <c r="A2068" s="403">
        <v>3803</v>
      </c>
      <c r="B2068" s="403">
        <v>18</v>
      </c>
      <c r="C2068" s="166">
        <v>1590</v>
      </c>
      <c r="D2068" s="166">
        <v>100</v>
      </c>
      <c r="E2068" s="166" t="s">
        <v>1107</v>
      </c>
      <c r="F2068" s="166">
        <v>769.37262842144253</v>
      </c>
    </row>
    <row r="2069" spans="1:6">
      <c r="A2069" s="403">
        <v>3804</v>
      </c>
      <c r="B2069" s="403">
        <v>18</v>
      </c>
      <c r="C2069" s="166">
        <v>1590</v>
      </c>
      <c r="D2069" s="166">
        <v>100</v>
      </c>
      <c r="E2069" s="166" t="s">
        <v>1107</v>
      </c>
      <c r="F2069" s="166">
        <v>769.37262842144253</v>
      </c>
    </row>
    <row r="2070" spans="1:6">
      <c r="A2070" s="403">
        <v>3805</v>
      </c>
      <c r="B2070" s="403">
        <v>18</v>
      </c>
      <c r="C2070" s="166">
        <v>1590</v>
      </c>
      <c r="D2070" s="166">
        <v>100</v>
      </c>
      <c r="E2070" s="166" t="s">
        <v>1107</v>
      </c>
      <c r="F2070" s="166">
        <v>769.37262842144253</v>
      </c>
    </row>
    <row r="2071" spans="1:6">
      <c r="A2071" s="403">
        <v>3806</v>
      </c>
      <c r="B2071" s="403">
        <v>18</v>
      </c>
      <c r="C2071" s="166">
        <v>1590</v>
      </c>
      <c r="D2071" s="166">
        <v>100</v>
      </c>
      <c r="E2071" s="166" t="s">
        <v>1107</v>
      </c>
      <c r="F2071" s="166">
        <v>769.37262842144253</v>
      </c>
    </row>
    <row r="2072" spans="1:6">
      <c r="A2072" s="403">
        <v>3807</v>
      </c>
      <c r="B2072" s="403">
        <v>18</v>
      </c>
      <c r="C2072" s="166">
        <v>1590</v>
      </c>
      <c r="D2072" s="166">
        <v>100</v>
      </c>
      <c r="E2072" s="166" t="s">
        <v>1107</v>
      </c>
      <c r="F2072" s="166">
        <v>769.37262842144253</v>
      </c>
    </row>
    <row r="2073" spans="1:6">
      <c r="A2073" s="403">
        <v>3808</v>
      </c>
      <c r="B2073" s="403">
        <v>18</v>
      </c>
      <c r="C2073" s="166">
        <v>1590</v>
      </c>
      <c r="D2073" s="166">
        <v>100</v>
      </c>
      <c r="E2073" s="166" t="s">
        <v>1107</v>
      </c>
      <c r="F2073" s="166">
        <v>769.37262842144253</v>
      </c>
    </row>
    <row r="2074" spans="1:6">
      <c r="A2074" s="403">
        <v>3809</v>
      </c>
      <c r="B2074" s="403">
        <v>18</v>
      </c>
      <c r="C2074" s="166">
        <v>1590</v>
      </c>
      <c r="D2074" s="166">
        <v>100</v>
      </c>
      <c r="E2074" s="166" t="s">
        <v>1107</v>
      </c>
      <c r="F2074" s="166">
        <v>769.37262842144253</v>
      </c>
    </row>
    <row r="2075" spans="1:6">
      <c r="A2075" s="403">
        <v>3810</v>
      </c>
      <c r="B2075" s="403">
        <v>18</v>
      </c>
      <c r="C2075" s="166">
        <v>1590</v>
      </c>
      <c r="D2075" s="166">
        <v>100</v>
      </c>
      <c r="E2075" s="166" t="s">
        <v>1107</v>
      </c>
      <c r="F2075" s="166">
        <v>769.37262842144253</v>
      </c>
    </row>
    <row r="2076" spans="1:6">
      <c r="A2076" s="403">
        <v>3812</v>
      </c>
      <c r="B2076" s="403">
        <v>18</v>
      </c>
      <c r="C2076" s="166">
        <v>1590</v>
      </c>
      <c r="D2076" s="166">
        <v>100</v>
      </c>
      <c r="E2076" s="166" t="s">
        <v>1107</v>
      </c>
      <c r="F2076" s="166">
        <v>769.37262842144253</v>
      </c>
    </row>
    <row r="2077" spans="1:6">
      <c r="A2077" s="403">
        <v>3813</v>
      </c>
      <c r="B2077" s="403">
        <v>18</v>
      </c>
      <c r="C2077" s="166">
        <v>1590</v>
      </c>
      <c r="D2077" s="166">
        <v>100</v>
      </c>
      <c r="E2077" s="166" t="s">
        <v>1107</v>
      </c>
      <c r="F2077" s="166">
        <v>769.37262842144253</v>
      </c>
    </row>
    <row r="2078" spans="1:6">
      <c r="A2078" s="403">
        <v>3814</v>
      </c>
      <c r="B2078" s="403">
        <v>18</v>
      </c>
      <c r="C2078" s="166">
        <v>1590</v>
      </c>
      <c r="D2078" s="166">
        <v>100</v>
      </c>
      <c r="E2078" s="166" t="s">
        <v>1107</v>
      </c>
      <c r="F2078" s="166">
        <v>769.37262842144253</v>
      </c>
    </row>
    <row r="2079" spans="1:6">
      <c r="A2079" s="403">
        <v>3815</v>
      </c>
      <c r="B2079" s="403">
        <v>18</v>
      </c>
      <c r="C2079" s="166">
        <v>1590</v>
      </c>
      <c r="D2079" s="166">
        <v>100</v>
      </c>
      <c r="E2079" s="166" t="s">
        <v>1107</v>
      </c>
      <c r="F2079" s="166">
        <v>769.37262842144253</v>
      </c>
    </row>
    <row r="2080" spans="1:6">
      <c r="A2080" s="403">
        <v>3816</v>
      </c>
      <c r="B2080" s="403">
        <v>18</v>
      </c>
      <c r="C2080" s="166">
        <v>1590</v>
      </c>
      <c r="D2080" s="166">
        <v>100</v>
      </c>
      <c r="E2080" s="166" t="s">
        <v>1107</v>
      </c>
      <c r="F2080" s="166">
        <v>769.37262842144253</v>
      </c>
    </row>
    <row r="2081" spans="1:6">
      <c r="A2081" s="403">
        <v>3818</v>
      </c>
      <c r="B2081" s="403">
        <v>18</v>
      </c>
      <c r="C2081" s="166">
        <v>1590</v>
      </c>
      <c r="D2081" s="166">
        <v>100</v>
      </c>
      <c r="E2081" s="166" t="s">
        <v>1107</v>
      </c>
      <c r="F2081" s="166">
        <v>769.37262842144253</v>
      </c>
    </row>
    <row r="2082" spans="1:6">
      <c r="A2082" s="403">
        <v>3820</v>
      </c>
      <c r="B2082" s="403">
        <v>20</v>
      </c>
      <c r="C2082" s="166">
        <v>2021</v>
      </c>
      <c r="D2082" s="166">
        <v>136</v>
      </c>
      <c r="E2082" s="166" t="s">
        <v>1107</v>
      </c>
      <c r="F2082" s="166">
        <v>298.50401401720501</v>
      </c>
    </row>
    <row r="2083" spans="1:6">
      <c r="A2083" s="403">
        <v>3821</v>
      </c>
      <c r="B2083" s="403">
        <v>20</v>
      </c>
      <c r="C2083" s="166">
        <v>2021</v>
      </c>
      <c r="D2083" s="166">
        <v>136</v>
      </c>
      <c r="E2083" s="166" t="s">
        <v>1107</v>
      </c>
      <c r="F2083" s="166">
        <v>298.50401401720501</v>
      </c>
    </row>
    <row r="2084" spans="1:6">
      <c r="A2084" s="403">
        <v>3822</v>
      </c>
      <c r="B2084" s="403">
        <v>20</v>
      </c>
      <c r="C2084" s="166">
        <v>2021</v>
      </c>
      <c r="D2084" s="166">
        <v>136</v>
      </c>
      <c r="E2084" s="166" t="s">
        <v>1107</v>
      </c>
      <c r="F2084" s="166">
        <v>298.50401401720501</v>
      </c>
    </row>
    <row r="2085" spans="1:6">
      <c r="A2085" s="403">
        <v>3823</v>
      </c>
      <c r="B2085" s="403">
        <v>20</v>
      </c>
      <c r="C2085" s="166">
        <v>2021</v>
      </c>
      <c r="D2085" s="166">
        <v>136</v>
      </c>
      <c r="E2085" s="166" t="s">
        <v>1107</v>
      </c>
      <c r="F2085" s="166">
        <v>298.50401401720501</v>
      </c>
    </row>
    <row r="2086" spans="1:6">
      <c r="A2086" s="403">
        <v>3824</v>
      </c>
      <c r="B2086" s="403">
        <v>20</v>
      </c>
      <c r="C2086" s="166">
        <v>2021</v>
      </c>
      <c r="D2086" s="166">
        <v>136</v>
      </c>
      <c r="E2086" s="166" t="s">
        <v>1107</v>
      </c>
      <c r="F2086" s="166">
        <v>298.50401401720501</v>
      </c>
    </row>
    <row r="2087" spans="1:6">
      <c r="A2087" s="403">
        <v>3825</v>
      </c>
      <c r="B2087" s="403">
        <v>20</v>
      </c>
      <c r="C2087" s="166">
        <v>2021</v>
      </c>
      <c r="D2087" s="166">
        <v>136</v>
      </c>
      <c r="E2087" s="166" t="s">
        <v>1107</v>
      </c>
      <c r="F2087" s="166">
        <v>298.50401401720501</v>
      </c>
    </row>
    <row r="2088" spans="1:6">
      <c r="A2088" s="403">
        <v>3831</v>
      </c>
      <c r="B2088" s="403">
        <v>20</v>
      </c>
      <c r="C2088" s="166">
        <v>2021</v>
      </c>
      <c r="D2088" s="166">
        <v>136</v>
      </c>
      <c r="E2088" s="166" t="s">
        <v>1107</v>
      </c>
      <c r="F2088" s="166">
        <v>298.50401401720501</v>
      </c>
    </row>
    <row r="2089" spans="1:6">
      <c r="A2089" s="403">
        <v>3833</v>
      </c>
      <c r="B2089" s="403">
        <v>20</v>
      </c>
      <c r="C2089" s="166">
        <v>2021</v>
      </c>
      <c r="D2089" s="166">
        <v>136</v>
      </c>
      <c r="E2089" s="166" t="s">
        <v>1107</v>
      </c>
      <c r="F2089" s="166">
        <v>298.50401401720501</v>
      </c>
    </row>
    <row r="2090" spans="1:6">
      <c r="A2090" s="403">
        <v>3835</v>
      </c>
      <c r="B2090" s="403">
        <v>20</v>
      </c>
      <c r="C2090" s="166">
        <v>2021</v>
      </c>
      <c r="D2090" s="166">
        <v>136</v>
      </c>
      <c r="E2090" s="166" t="s">
        <v>1107</v>
      </c>
      <c r="F2090" s="166">
        <v>298.50401401720501</v>
      </c>
    </row>
    <row r="2091" spans="1:6">
      <c r="A2091" s="403">
        <v>3840</v>
      </c>
      <c r="B2091" s="403">
        <v>20</v>
      </c>
      <c r="C2091" s="166">
        <v>2021</v>
      </c>
      <c r="D2091" s="166">
        <v>136</v>
      </c>
      <c r="E2091" s="166" t="s">
        <v>1107</v>
      </c>
      <c r="F2091" s="166">
        <v>298.50401401720501</v>
      </c>
    </row>
    <row r="2092" spans="1:6">
      <c r="A2092" s="403">
        <v>3841</v>
      </c>
      <c r="B2092" s="403">
        <v>20</v>
      </c>
      <c r="C2092" s="166">
        <v>2021</v>
      </c>
      <c r="D2092" s="166">
        <v>136</v>
      </c>
      <c r="E2092" s="166" t="s">
        <v>1107</v>
      </c>
      <c r="F2092" s="166">
        <v>298.50401401720501</v>
      </c>
    </row>
    <row r="2093" spans="1:6">
      <c r="A2093" s="403">
        <v>3842</v>
      </c>
      <c r="B2093" s="403">
        <v>20</v>
      </c>
      <c r="C2093" s="166">
        <v>2021</v>
      </c>
      <c r="D2093" s="166">
        <v>136</v>
      </c>
      <c r="E2093" s="166" t="s">
        <v>1107</v>
      </c>
      <c r="F2093" s="166">
        <v>298.50401401720501</v>
      </c>
    </row>
    <row r="2094" spans="1:6">
      <c r="A2094" s="403">
        <v>3844</v>
      </c>
      <c r="B2094" s="403">
        <v>20</v>
      </c>
      <c r="C2094" s="166">
        <v>2021</v>
      </c>
      <c r="D2094" s="166">
        <v>136</v>
      </c>
      <c r="E2094" s="166" t="s">
        <v>1107</v>
      </c>
      <c r="F2094" s="166">
        <v>298.50401401720501</v>
      </c>
    </row>
    <row r="2095" spans="1:6">
      <c r="A2095" s="403">
        <v>3847</v>
      </c>
      <c r="B2095" s="403">
        <v>20</v>
      </c>
      <c r="C2095" s="166">
        <v>2021</v>
      </c>
      <c r="D2095" s="166">
        <v>136</v>
      </c>
      <c r="E2095" s="166" t="s">
        <v>1107</v>
      </c>
      <c r="F2095" s="166">
        <v>298.50401401720501</v>
      </c>
    </row>
    <row r="2096" spans="1:6">
      <c r="A2096" s="403">
        <v>3850</v>
      </c>
      <c r="B2096" s="403">
        <v>20</v>
      </c>
      <c r="C2096" s="166">
        <v>2021</v>
      </c>
      <c r="D2096" s="166">
        <v>136</v>
      </c>
      <c r="E2096" s="166" t="s">
        <v>1107</v>
      </c>
      <c r="F2096" s="166">
        <v>298.50401401720501</v>
      </c>
    </row>
    <row r="2097" spans="1:6">
      <c r="A2097" s="403">
        <v>3851</v>
      </c>
      <c r="B2097" s="403">
        <v>20</v>
      </c>
      <c r="C2097" s="166">
        <v>2021</v>
      </c>
      <c r="D2097" s="166">
        <v>136</v>
      </c>
      <c r="E2097" s="166" t="s">
        <v>1107</v>
      </c>
      <c r="F2097" s="166">
        <v>298.50401401720501</v>
      </c>
    </row>
    <row r="2098" spans="1:6">
      <c r="A2098" s="403">
        <v>3852</v>
      </c>
      <c r="B2098" s="403">
        <v>20</v>
      </c>
      <c r="C2098" s="166">
        <v>2021</v>
      </c>
      <c r="D2098" s="166">
        <v>136</v>
      </c>
      <c r="E2098" s="166" t="s">
        <v>1107</v>
      </c>
      <c r="F2098" s="166">
        <v>298.50401401720501</v>
      </c>
    </row>
    <row r="2099" spans="1:6">
      <c r="A2099" s="403">
        <v>3853</v>
      </c>
      <c r="B2099" s="403">
        <v>20</v>
      </c>
      <c r="C2099" s="166">
        <v>2021</v>
      </c>
      <c r="D2099" s="166">
        <v>136</v>
      </c>
      <c r="E2099" s="166" t="s">
        <v>1107</v>
      </c>
      <c r="F2099" s="166">
        <v>298.50401401720501</v>
      </c>
    </row>
    <row r="2100" spans="1:6">
      <c r="A2100" s="403">
        <v>3854</v>
      </c>
      <c r="B2100" s="403">
        <v>20</v>
      </c>
      <c r="C2100" s="166">
        <v>2021</v>
      </c>
      <c r="D2100" s="166">
        <v>136</v>
      </c>
      <c r="E2100" s="166" t="s">
        <v>1107</v>
      </c>
      <c r="F2100" s="166">
        <v>298.50401401720501</v>
      </c>
    </row>
    <row r="2101" spans="1:6">
      <c r="A2101" s="403">
        <v>3856</v>
      </c>
      <c r="B2101" s="403">
        <v>20</v>
      </c>
      <c r="C2101" s="166">
        <v>2021</v>
      </c>
      <c r="D2101" s="166">
        <v>136</v>
      </c>
      <c r="E2101" s="166" t="s">
        <v>1107</v>
      </c>
      <c r="F2101" s="166">
        <v>298.50401401720501</v>
      </c>
    </row>
    <row r="2102" spans="1:6">
      <c r="A2102" s="403">
        <v>3857</v>
      </c>
      <c r="B2102" s="403">
        <v>20</v>
      </c>
      <c r="C2102" s="166">
        <v>2021</v>
      </c>
      <c r="D2102" s="166">
        <v>136</v>
      </c>
      <c r="E2102" s="166" t="s">
        <v>1107</v>
      </c>
      <c r="F2102" s="166">
        <v>298.50401401720501</v>
      </c>
    </row>
    <row r="2103" spans="1:6">
      <c r="A2103" s="403">
        <v>3858</v>
      </c>
      <c r="B2103" s="403">
        <v>20</v>
      </c>
      <c r="C2103" s="166">
        <v>2021</v>
      </c>
      <c r="D2103" s="166">
        <v>136</v>
      </c>
      <c r="E2103" s="166" t="s">
        <v>1107</v>
      </c>
      <c r="F2103" s="166">
        <v>298.50401401720501</v>
      </c>
    </row>
    <row r="2104" spans="1:6">
      <c r="A2104" s="403">
        <v>3859</v>
      </c>
      <c r="B2104" s="403">
        <v>20</v>
      </c>
      <c r="C2104" s="166">
        <v>2021</v>
      </c>
      <c r="D2104" s="166">
        <v>136</v>
      </c>
      <c r="E2104" s="166" t="s">
        <v>1107</v>
      </c>
      <c r="F2104" s="166">
        <v>298.50401401720501</v>
      </c>
    </row>
    <row r="2105" spans="1:6">
      <c r="A2105" s="403">
        <v>3860</v>
      </c>
      <c r="B2105" s="403">
        <v>20</v>
      </c>
      <c r="C2105" s="166">
        <v>2021</v>
      </c>
      <c r="D2105" s="166">
        <v>136</v>
      </c>
      <c r="E2105" s="166" t="s">
        <v>1107</v>
      </c>
      <c r="F2105" s="166">
        <v>298.50401401720501</v>
      </c>
    </row>
    <row r="2106" spans="1:6">
      <c r="A2106" s="403">
        <v>3862</v>
      </c>
      <c r="B2106" s="403">
        <v>21</v>
      </c>
      <c r="C2106" s="166">
        <v>1569</v>
      </c>
      <c r="D2106" s="166">
        <v>180</v>
      </c>
      <c r="E2106" s="166" t="s">
        <v>1107</v>
      </c>
      <c r="F2106" s="166">
        <v>508.34535799304206</v>
      </c>
    </row>
    <row r="2107" spans="1:6">
      <c r="A2107" s="403">
        <v>3864</v>
      </c>
      <c r="B2107" s="403">
        <v>20</v>
      </c>
      <c r="C2107" s="166">
        <v>2021</v>
      </c>
      <c r="D2107" s="166">
        <v>136</v>
      </c>
      <c r="E2107" s="166" t="s">
        <v>1107</v>
      </c>
      <c r="F2107" s="166">
        <v>298.50401401720501</v>
      </c>
    </row>
    <row r="2108" spans="1:6">
      <c r="A2108" s="403">
        <v>3865</v>
      </c>
      <c r="B2108" s="403">
        <v>21</v>
      </c>
      <c r="C2108" s="166">
        <v>1569</v>
      </c>
      <c r="D2108" s="166">
        <v>180</v>
      </c>
      <c r="E2108" s="166" t="s">
        <v>1107</v>
      </c>
      <c r="F2108" s="166">
        <v>508.34535799304206</v>
      </c>
    </row>
    <row r="2109" spans="1:6">
      <c r="A2109" s="403">
        <v>3869</v>
      </c>
      <c r="B2109" s="403">
        <v>20</v>
      </c>
      <c r="C2109" s="166">
        <v>2021</v>
      </c>
      <c r="D2109" s="166">
        <v>136</v>
      </c>
      <c r="E2109" s="166" t="s">
        <v>1107</v>
      </c>
      <c r="F2109" s="166">
        <v>298.50401401720501</v>
      </c>
    </row>
    <row r="2110" spans="1:6">
      <c r="A2110" s="403">
        <v>3870</v>
      </c>
      <c r="B2110" s="403">
        <v>20</v>
      </c>
      <c r="C2110" s="166">
        <v>2021</v>
      </c>
      <c r="D2110" s="166">
        <v>136</v>
      </c>
      <c r="E2110" s="166" t="s">
        <v>1107</v>
      </c>
      <c r="F2110" s="166">
        <v>298.50401401720501</v>
      </c>
    </row>
    <row r="2111" spans="1:6">
      <c r="A2111" s="403">
        <v>3871</v>
      </c>
      <c r="B2111" s="403">
        <v>20</v>
      </c>
      <c r="C2111" s="166">
        <v>2021</v>
      </c>
      <c r="D2111" s="166">
        <v>136</v>
      </c>
      <c r="E2111" s="166" t="s">
        <v>1107</v>
      </c>
      <c r="F2111" s="166">
        <v>298.50401401720501</v>
      </c>
    </row>
    <row r="2112" spans="1:6">
      <c r="A2112" s="403">
        <v>3873</v>
      </c>
      <c r="B2112" s="403">
        <v>20</v>
      </c>
      <c r="C2112" s="166">
        <v>2021</v>
      </c>
      <c r="D2112" s="166">
        <v>136</v>
      </c>
      <c r="E2112" s="166" t="s">
        <v>1107</v>
      </c>
      <c r="F2112" s="166">
        <v>298.50401401720501</v>
      </c>
    </row>
    <row r="2113" spans="1:6">
      <c r="A2113" s="403">
        <v>3874</v>
      </c>
      <c r="B2113" s="403">
        <v>20</v>
      </c>
      <c r="C2113" s="166">
        <v>2021</v>
      </c>
      <c r="D2113" s="166">
        <v>136</v>
      </c>
      <c r="E2113" s="166" t="s">
        <v>1107</v>
      </c>
      <c r="F2113" s="166">
        <v>298.50401401720501</v>
      </c>
    </row>
    <row r="2114" spans="1:6">
      <c r="A2114" s="403">
        <v>3875</v>
      </c>
      <c r="B2114" s="403">
        <v>21</v>
      </c>
      <c r="C2114" s="166">
        <v>1569</v>
      </c>
      <c r="D2114" s="166">
        <v>180</v>
      </c>
      <c r="E2114" s="166" t="s">
        <v>1107</v>
      </c>
      <c r="F2114" s="166">
        <v>508.34535799304206</v>
      </c>
    </row>
    <row r="2115" spans="1:6">
      <c r="A2115" s="403">
        <v>3878</v>
      </c>
      <c r="B2115" s="403">
        <v>21</v>
      </c>
      <c r="C2115" s="166">
        <v>1569</v>
      </c>
      <c r="D2115" s="166">
        <v>180</v>
      </c>
      <c r="E2115" s="166" t="s">
        <v>1107</v>
      </c>
      <c r="F2115" s="166">
        <v>508.34535799304206</v>
      </c>
    </row>
    <row r="2116" spans="1:6">
      <c r="A2116" s="403">
        <v>3880</v>
      </c>
      <c r="B2116" s="403">
        <v>21</v>
      </c>
      <c r="C2116" s="166">
        <v>1569</v>
      </c>
      <c r="D2116" s="166">
        <v>180</v>
      </c>
      <c r="E2116" s="166" t="s">
        <v>1107</v>
      </c>
      <c r="F2116" s="166">
        <v>508.34535799304206</v>
      </c>
    </row>
    <row r="2117" spans="1:6">
      <c r="A2117" s="403">
        <v>3882</v>
      </c>
      <c r="B2117" s="403">
        <v>21</v>
      </c>
      <c r="C2117" s="166">
        <v>1569</v>
      </c>
      <c r="D2117" s="166">
        <v>180</v>
      </c>
      <c r="E2117" s="166" t="s">
        <v>1107</v>
      </c>
      <c r="F2117" s="166">
        <v>508.34535799304206</v>
      </c>
    </row>
    <row r="2118" spans="1:6">
      <c r="A2118" s="403">
        <v>3885</v>
      </c>
      <c r="B2118" s="403">
        <v>21</v>
      </c>
      <c r="C2118" s="166">
        <v>1569</v>
      </c>
      <c r="D2118" s="166">
        <v>180</v>
      </c>
      <c r="E2118" s="166" t="s">
        <v>1107</v>
      </c>
      <c r="F2118" s="166">
        <v>508.34535799304206</v>
      </c>
    </row>
    <row r="2119" spans="1:6">
      <c r="A2119" s="403">
        <v>3886</v>
      </c>
      <c r="B2119" s="403">
        <v>21</v>
      </c>
      <c r="C2119" s="166">
        <v>1569</v>
      </c>
      <c r="D2119" s="166">
        <v>180</v>
      </c>
      <c r="E2119" s="166" t="s">
        <v>1107</v>
      </c>
      <c r="F2119" s="166">
        <v>508.34535799304206</v>
      </c>
    </row>
    <row r="2120" spans="1:6">
      <c r="A2120" s="403">
        <v>3887</v>
      </c>
      <c r="B2120" s="403">
        <v>21</v>
      </c>
      <c r="C2120" s="166">
        <v>1569</v>
      </c>
      <c r="D2120" s="166">
        <v>180</v>
      </c>
      <c r="E2120" s="166" t="s">
        <v>1107</v>
      </c>
      <c r="F2120" s="166">
        <v>508.34535799304206</v>
      </c>
    </row>
    <row r="2121" spans="1:6">
      <c r="A2121" s="403">
        <v>3888</v>
      </c>
      <c r="B2121" s="403">
        <v>21</v>
      </c>
      <c r="C2121" s="166">
        <v>1569</v>
      </c>
      <c r="D2121" s="166">
        <v>180</v>
      </c>
      <c r="E2121" s="166" t="s">
        <v>1107</v>
      </c>
      <c r="F2121" s="166">
        <v>508.34535799304206</v>
      </c>
    </row>
    <row r="2122" spans="1:6">
      <c r="A2122" s="403">
        <v>3889</v>
      </c>
      <c r="B2122" s="403">
        <v>21</v>
      </c>
      <c r="C2122" s="166">
        <v>1569</v>
      </c>
      <c r="D2122" s="166">
        <v>180</v>
      </c>
      <c r="E2122" s="166" t="s">
        <v>1107</v>
      </c>
      <c r="F2122" s="166">
        <v>508.34535799304206</v>
      </c>
    </row>
    <row r="2123" spans="1:6">
      <c r="A2123" s="403">
        <v>3890</v>
      </c>
      <c r="B2123" s="403">
        <v>21</v>
      </c>
      <c r="C2123" s="166">
        <v>1569</v>
      </c>
      <c r="D2123" s="166">
        <v>180</v>
      </c>
      <c r="E2123" s="166" t="s">
        <v>1107</v>
      </c>
      <c r="F2123" s="166">
        <v>508.34535799304206</v>
      </c>
    </row>
    <row r="2124" spans="1:6">
      <c r="A2124" s="403">
        <v>3891</v>
      </c>
      <c r="B2124" s="403">
        <v>21</v>
      </c>
      <c r="C2124" s="166">
        <v>1569</v>
      </c>
      <c r="D2124" s="166">
        <v>180</v>
      </c>
      <c r="E2124" s="166" t="s">
        <v>1107</v>
      </c>
      <c r="F2124" s="166">
        <v>508.34535799304206</v>
      </c>
    </row>
    <row r="2125" spans="1:6">
      <c r="A2125" s="403">
        <v>3892</v>
      </c>
      <c r="B2125" s="403">
        <v>21</v>
      </c>
      <c r="C2125" s="166">
        <v>1569</v>
      </c>
      <c r="D2125" s="166">
        <v>180</v>
      </c>
      <c r="E2125" s="166" t="s">
        <v>1107</v>
      </c>
      <c r="F2125" s="166">
        <v>508.34535799304206</v>
      </c>
    </row>
    <row r="2126" spans="1:6">
      <c r="A2126" s="403">
        <v>3893</v>
      </c>
      <c r="B2126" s="403">
        <v>21</v>
      </c>
      <c r="C2126" s="166">
        <v>1569</v>
      </c>
      <c r="D2126" s="166">
        <v>180</v>
      </c>
      <c r="E2126" s="166" t="s">
        <v>1107</v>
      </c>
      <c r="F2126" s="166">
        <v>508.34535799304206</v>
      </c>
    </row>
    <row r="2127" spans="1:6">
      <c r="A2127" s="403">
        <v>3895</v>
      </c>
      <c r="B2127" s="403">
        <v>21</v>
      </c>
      <c r="C2127" s="166">
        <v>1569</v>
      </c>
      <c r="D2127" s="166">
        <v>180</v>
      </c>
      <c r="E2127" s="166" t="s">
        <v>1107</v>
      </c>
      <c r="F2127" s="166">
        <v>508.34535799304206</v>
      </c>
    </row>
    <row r="2128" spans="1:6">
      <c r="A2128" s="403">
        <v>3896</v>
      </c>
      <c r="B2128" s="403">
        <v>21</v>
      </c>
      <c r="C2128" s="166">
        <v>1569</v>
      </c>
      <c r="D2128" s="166">
        <v>180</v>
      </c>
      <c r="E2128" s="166" t="s">
        <v>1107</v>
      </c>
      <c r="F2128" s="166">
        <v>508.34535799304206</v>
      </c>
    </row>
    <row r="2129" spans="1:6">
      <c r="A2129" s="403">
        <v>3898</v>
      </c>
      <c r="B2129" s="403">
        <v>19</v>
      </c>
      <c r="C2129" s="166">
        <v>2031</v>
      </c>
      <c r="D2129" s="166">
        <v>194</v>
      </c>
      <c r="E2129" s="166" t="s">
        <v>1107</v>
      </c>
      <c r="F2129" s="166">
        <v>171.27055803571511</v>
      </c>
    </row>
    <row r="2130" spans="1:6">
      <c r="A2130" s="403">
        <v>3900</v>
      </c>
      <c r="B2130" s="403">
        <v>19</v>
      </c>
      <c r="C2130" s="166">
        <v>2031</v>
      </c>
      <c r="D2130" s="166">
        <v>194</v>
      </c>
      <c r="E2130" s="166" t="s">
        <v>1107</v>
      </c>
      <c r="F2130" s="166">
        <v>171.27055803571511</v>
      </c>
    </row>
    <row r="2131" spans="1:6">
      <c r="A2131" s="403">
        <v>3902</v>
      </c>
      <c r="B2131" s="403">
        <v>21</v>
      </c>
      <c r="C2131" s="166">
        <v>1569</v>
      </c>
      <c r="D2131" s="166">
        <v>180</v>
      </c>
      <c r="E2131" s="166" t="s">
        <v>1107</v>
      </c>
      <c r="F2131" s="166">
        <v>508.34535799304206</v>
      </c>
    </row>
    <row r="2132" spans="1:6">
      <c r="A2132" s="403">
        <v>3903</v>
      </c>
      <c r="B2132" s="403">
        <v>21</v>
      </c>
      <c r="C2132" s="166">
        <v>1569</v>
      </c>
      <c r="D2132" s="166">
        <v>180</v>
      </c>
      <c r="E2132" s="166" t="s">
        <v>1107</v>
      </c>
      <c r="F2132" s="166">
        <v>508.34535799304206</v>
      </c>
    </row>
    <row r="2133" spans="1:6">
      <c r="A2133" s="403">
        <v>3904</v>
      </c>
      <c r="B2133" s="403">
        <v>21</v>
      </c>
      <c r="C2133" s="166">
        <v>1569</v>
      </c>
      <c r="D2133" s="166">
        <v>180</v>
      </c>
      <c r="E2133" s="166" t="s">
        <v>1107</v>
      </c>
      <c r="F2133" s="166">
        <v>508.34535799304206</v>
      </c>
    </row>
    <row r="2134" spans="1:6">
      <c r="A2134" s="403">
        <v>3909</v>
      </c>
      <c r="B2134" s="403">
        <v>21</v>
      </c>
      <c r="C2134" s="166">
        <v>1569</v>
      </c>
      <c r="D2134" s="166">
        <v>180</v>
      </c>
      <c r="E2134" s="166" t="s">
        <v>1107</v>
      </c>
      <c r="F2134" s="166">
        <v>508.34535799304206</v>
      </c>
    </row>
    <row r="2135" spans="1:6">
      <c r="A2135" s="403">
        <v>3910</v>
      </c>
      <c r="B2135" s="403">
        <v>18</v>
      </c>
      <c r="C2135" s="166">
        <v>1590</v>
      </c>
      <c r="D2135" s="166">
        <v>100</v>
      </c>
      <c r="E2135" s="166" t="s">
        <v>1107</v>
      </c>
      <c r="F2135" s="166">
        <v>769.37262842144253</v>
      </c>
    </row>
    <row r="2136" spans="1:6">
      <c r="A2136" s="403">
        <v>3911</v>
      </c>
      <c r="B2136" s="403">
        <v>18</v>
      </c>
      <c r="C2136" s="166">
        <v>1590</v>
      </c>
      <c r="D2136" s="166">
        <v>100</v>
      </c>
      <c r="E2136" s="166" t="s">
        <v>1107</v>
      </c>
      <c r="F2136" s="166">
        <v>769.37262842144253</v>
      </c>
    </row>
    <row r="2137" spans="1:6">
      <c r="A2137" s="403">
        <v>3912</v>
      </c>
      <c r="B2137" s="403">
        <v>18</v>
      </c>
      <c r="C2137" s="166">
        <v>1590</v>
      </c>
      <c r="D2137" s="166">
        <v>100</v>
      </c>
      <c r="E2137" s="166" t="s">
        <v>1107</v>
      </c>
      <c r="F2137" s="166">
        <v>769.37262842144253</v>
      </c>
    </row>
    <row r="2138" spans="1:6">
      <c r="A2138" s="403">
        <v>3913</v>
      </c>
      <c r="B2138" s="403">
        <v>18</v>
      </c>
      <c r="C2138" s="166">
        <v>1590</v>
      </c>
      <c r="D2138" s="166">
        <v>100</v>
      </c>
      <c r="E2138" s="166" t="s">
        <v>1107</v>
      </c>
      <c r="F2138" s="166">
        <v>769.37262842144253</v>
      </c>
    </row>
    <row r="2139" spans="1:6">
      <c r="A2139" s="403">
        <v>3915</v>
      </c>
      <c r="B2139" s="403">
        <v>18</v>
      </c>
      <c r="C2139" s="166">
        <v>1590</v>
      </c>
      <c r="D2139" s="166">
        <v>100</v>
      </c>
      <c r="E2139" s="166" t="s">
        <v>1107</v>
      </c>
      <c r="F2139" s="166">
        <v>769.37262842144253</v>
      </c>
    </row>
    <row r="2140" spans="1:6">
      <c r="A2140" s="403">
        <v>3916</v>
      </c>
      <c r="B2140" s="403">
        <v>18</v>
      </c>
      <c r="C2140" s="166">
        <v>1590</v>
      </c>
      <c r="D2140" s="166">
        <v>100</v>
      </c>
      <c r="E2140" s="166" t="s">
        <v>1107</v>
      </c>
      <c r="F2140" s="166">
        <v>769.37262842144253</v>
      </c>
    </row>
    <row r="2141" spans="1:6">
      <c r="A2141" s="403">
        <v>3918</v>
      </c>
      <c r="B2141" s="403">
        <v>18</v>
      </c>
      <c r="C2141" s="166">
        <v>1590</v>
      </c>
      <c r="D2141" s="166">
        <v>100</v>
      </c>
      <c r="E2141" s="166" t="s">
        <v>1107</v>
      </c>
      <c r="F2141" s="166">
        <v>769.37262842144253</v>
      </c>
    </row>
    <row r="2142" spans="1:6">
      <c r="A2142" s="403">
        <v>3919</v>
      </c>
      <c r="B2142" s="403">
        <v>18</v>
      </c>
      <c r="C2142" s="166">
        <v>1590</v>
      </c>
      <c r="D2142" s="166">
        <v>100</v>
      </c>
      <c r="E2142" s="166" t="s">
        <v>1107</v>
      </c>
      <c r="F2142" s="166">
        <v>769.37262842144253</v>
      </c>
    </row>
    <row r="2143" spans="1:6">
      <c r="A2143" s="403">
        <v>3920</v>
      </c>
      <c r="B2143" s="403">
        <v>18</v>
      </c>
      <c r="C2143" s="166">
        <v>1590</v>
      </c>
      <c r="D2143" s="166">
        <v>100</v>
      </c>
      <c r="E2143" s="166" t="s">
        <v>1107</v>
      </c>
      <c r="F2143" s="166">
        <v>769.37262842144253</v>
      </c>
    </row>
    <row r="2144" spans="1:6">
      <c r="A2144" s="403">
        <v>3921</v>
      </c>
      <c r="B2144" s="403">
        <v>18</v>
      </c>
      <c r="C2144" s="166">
        <v>1590</v>
      </c>
      <c r="D2144" s="166">
        <v>100</v>
      </c>
      <c r="E2144" s="166" t="s">
        <v>1107</v>
      </c>
      <c r="F2144" s="166">
        <v>769.37262842144253</v>
      </c>
    </row>
    <row r="2145" spans="1:6">
      <c r="A2145" s="403">
        <v>3922</v>
      </c>
      <c r="B2145" s="403">
        <v>18</v>
      </c>
      <c r="C2145" s="166">
        <v>1590</v>
      </c>
      <c r="D2145" s="166">
        <v>100</v>
      </c>
      <c r="E2145" s="166" t="s">
        <v>1107</v>
      </c>
      <c r="F2145" s="166">
        <v>769.37262842144253</v>
      </c>
    </row>
    <row r="2146" spans="1:6">
      <c r="A2146" s="403">
        <v>3923</v>
      </c>
      <c r="B2146" s="403">
        <v>18</v>
      </c>
      <c r="C2146" s="166">
        <v>1590</v>
      </c>
      <c r="D2146" s="166">
        <v>100</v>
      </c>
      <c r="E2146" s="166" t="s">
        <v>1107</v>
      </c>
      <c r="F2146" s="166">
        <v>769.37262842144253</v>
      </c>
    </row>
    <row r="2147" spans="1:6">
      <c r="A2147" s="403">
        <v>3925</v>
      </c>
      <c r="B2147" s="403">
        <v>18</v>
      </c>
      <c r="C2147" s="166">
        <v>1590</v>
      </c>
      <c r="D2147" s="166">
        <v>100</v>
      </c>
      <c r="E2147" s="166" t="s">
        <v>1107</v>
      </c>
      <c r="F2147" s="166">
        <v>769.37262842144253</v>
      </c>
    </row>
    <row r="2148" spans="1:6">
      <c r="A2148" s="403">
        <v>3926</v>
      </c>
      <c r="B2148" s="403">
        <v>18</v>
      </c>
      <c r="C2148" s="166">
        <v>1590</v>
      </c>
      <c r="D2148" s="166">
        <v>100</v>
      </c>
      <c r="E2148" s="166" t="s">
        <v>1107</v>
      </c>
      <c r="F2148" s="166">
        <v>769.37262842144253</v>
      </c>
    </row>
    <row r="2149" spans="1:6">
      <c r="A2149" s="403">
        <v>3927</v>
      </c>
      <c r="B2149" s="403">
        <v>18</v>
      </c>
      <c r="C2149" s="166">
        <v>1590</v>
      </c>
      <c r="D2149" s="166">
        <v>100</v>
      </c>
      <c r="E2149" s="166" t="s">
        <v>1107</v>
      </c>
      <c r="F2149" s="166">
        <v>769.37262842144253</v>
      </c>
    </row>
    <row r="2150" spans="1:6">
      <c r="A2150" s="403">
        <v>3928</v>
      </c>
      <c r="B2150" s="403">
        <v>18</v>
      </c>
      <c r="C2150" s="166">
        <v>1590</v>
      </c>
      <c r="D2150" s="166">
        <v>100</v>
      </c>
      <c r="E2150" s="166" t="s">
        <v>1107</v>
      </c>
      <c r="F2150" s="166">
        <v>769.37262842144253</v>
      </c>
    </row>
    <row r="2151" spans="1:6">
      <c r="A2151" s="403">
        <v>3929</v>
      </c>
      <c r="B2151" s="403">
        <v>18</v>
      </c>
      <c r="C2151" s="166">
        <v>1590</v>
      </c>
      <c r="D2151" s="166">
        <v>100</v>
      </c>
      <c r="E2151" s="166" t="s">
        <v>1107</v>
      </c>
      <c r="F2151" s="166">
        <v>769.37262842144253</v>
      </c>
    </row>
    <row r="2152" spans="1:6">
      <c r="A2152" s="403">
        <v>3930</v>
      </c>
      <c r="B2152" s="403">
        <v>18</v>
      </c>
      <c r="C2152" s="166">
        <v>1590</v>
      </c>
      <c r="D2152" s="166">
        <v>100</v>
      </c>
      <c r="E2152" s="166" t="s">
        <v>1107</v>
      </c>
      <c r="F2152" s="166">
        <v>769.37262842144253</v>
      </c>
    </row>
    <row r="2153" spans="1:6">
      <c r="A2153" s="403">
        <v>3931</v>
      </c>
      <c r="B2153" s="403">
        <v>18</v>
      </c>
      <c r="C2153" s="166">
        <v>1590</v>
      </c>
      <c r="D2153" s="166">
        <v>100</v>
      </c>
      <c r="E2153" s="166" t="s">
        <v>1107</v>
      </c>
      <c r="F2153" s="166">
        <v>769.37262842144253</v>
      </c>
    </row>
    <row r="2154" spans="1:6">
      <c r="A2154" s="403">
        <v>3933</v>
      </c>
      <c r="B2154" s="403">
        <v>18</v>
      </c>
      <c r="C2154" s="166">
        <v>1590</v>
      </c>
      <c r="D2154" s="166">
        <v>100</v>
      </c>
      <c r="E2154" s="166" t="s">
        <v>1107</v>
      </c>
      <c r="F2154" s="166">
        <v>769.37262842144253</v>
      </c>
    </row>
    <row r="2155" spans="1:6">
      <c r="A2155" s="403">
        <v>3934</v>
      </c>
      <c r="B2155" s="403">
        <v>18</v>
      </c>
      <c r="C2155" s="166">
        <v>1590</v>
      </c>
      <c r="D2155" s="166">
        <v>100</v>
      </c>
      <c r="E2155" s="166" t="s">
        <v>1107</v>
      </c>
      <c r="F2155" s="166">
        <v>769.37262842144253</v>
      </c>
    </row>
    <row r="2156" spans="1:6">
      <c r="A2156" s="403">
        <v>3936</v>
      </c>
      <c r="B2156" s="403">
        <v>18</v>
      </c>
      <c r="C2156" s="166">
        <v>1590</v>
      </c>
      <c r="D2156" s="166">
        <v>100</v>
      </c>
      <c r="E2156" s="166" t="s">
        <v>1107</v>
      </c>
      <c r="F2156" s="166">
        <v>769.37262842144253</v>
      </c>
    </row>
    <row r="2157" spans="1:6">
      <c r="A2157" s="403">
        <v>3937</v>
      </c>
      <c r="B2157" s="403">
        <v>18</v>
      </c>
      <c r="C2157" s="166">
        <v>1590</v>
      </c>
      <c r="D2157" s="166">
        <v>100</v>
      </c>
      <c r="E2157" s="166" t="s">
        <v>1107</v>
      </c>
      <c r="F2157" s="166">
        <v>769.37262842144253</v>
      </c>
    </row>
    <row r="2158" spans="1:6">
      <c r="A2158" s="403">
        <v>3938</v>
      </c>
      <c r="B2158" s="403">
        <v>18</v>
      </c>
      <c r="C2158" s="166">
        <v>1590</v>
      </c>
      <c r="D2158" s="166">
        <v>100</v>
      </c>
      <c r="E2158" s="166" t="s">
        <v>1107</v>
      </c>
      <c r="F2158" s="166">
        <v>769.37262842144253</v>
      </c>
    </row>
    <row r="2159" spans="1:6">
      <c r="A2159" s="403">
        <v>3939</v>
      </c>
      <c r="B2159" s="403">
        <v>18</v>
      </c>
      <c r="C2159" s="166">
        <v>1590</v>
      </c>
      <c r="D2159" s="166">
        <v>100</v>
      </c>
      <c r="E2159" s="166" t="s">
        <v>1107</v>
      </c>
      <c r="F2159" s="166">
        <v>769.37262842144253</v>
      </c>
    </row>
    <row r="2160" spans="1:6">
      <c r="A2160" s="403">
        <v>3940</v>
      </c>
      <c r="B2160" s="403">
        <v>18</v>
      </c>
      <c r="C2160" s="166">
        <v>1590</v>
      </c>
      <c r="D2160" s="166">
        <v>100</v>
      </c>
      <c r="E2160" s="166" t="s">
        <v>1107</v>
      </c>
      <c r="F2160" s="166">
        <v>769.37262842144253</v>
      </c>
    </row>
    <row r="2161" spans="1:6">
      <c r="A2161" s="403">
        <v>3941</v>
      </c>
      <c r="B2161" s="403">
        <v>18</v>
      </c>
      <c r="C2161" s="166">
        <v>1590</v>
      </c>
      <c r="D2161" s="166">
        <v>100</v>
      </c>
      <c r="E2161" s="166" t="s">
        <v>1107</v>
      </c>
      <c r="F2161" s="166">
        <v>769.37262842144253</v>
      </c>
    </row>
    <row r="2162" spans="1:6">
      <c r="A2162" s="403">
        <v>3942</v>
      </c>
      <c r="B2162" s="403">
        <v>18</v>
      </c>
      <c r="C2162" s="166">
        <v>1590</v>
      </c>
      <c r="D2162" s="166">
        <v>100</v>
      </c>
      <c r="E2162" s="166" t="s">
        <v>1107</v>
      </c>
      <c r="F2162" s="166">
        <v>769.37262842144253</v>
      </c>
    </row>
    <row r="2163" spans="1:6">
      <c r="A2163" s="403">
        <v>3943</v>
      </c>
      <c r="B2163" s="403">
        <v>18</v>
      </c>
      <c r="C2163" s="166">
        <v>1590</v>
      </c>
      <c r="D2163" s="166">
        <v>100</v>
      </c>
      <c r="E2163" s="166" t="s">
        <v>1107</v>
      </c>
      <c r="F2163" s="166">
        <v>769.37262842144253</v>
      </c>
    </row>
    <row r="2164" spans="1:6">
      <c r="A2164" s="403">
        <v>3944</v>
      </c>
      <c r="B2164" s="403">
        <v>18</v>
      </c>
      <c r="C2164" s="166">
        <v>1590</v>
      </c>
      <c r="D2164" s="166">
        <v>100</v>
      </c>
      <c r="E2164" s="166" t="s">
        <v>1107</v>
      </c>
      <c r="F2164" s="166">
        <v>769.37262842144253</v>
      </c>
    </row>
    <row r="2165" spans="1:6">
      <c r="A2165" s="403">
        <v>3945</v>
      </c>
      <c r="B2165" s="403">
        <v>18</v>
      </c>
      <c r="C2165" s="166">
        <v>1590</v>
      </c>
      <c r="D2165" s="166">
        <v>100</v>
      </c>
      <c r="E2165" s="166" t="s">
        <v>1107</v>
      </c>
      <c r="F2165" s="166">
        <v>769.37262842144253</v>
      </c>
    </row>
    <row r="2166" spans="1:6">
      <c r="A2166" s="403">
        <v>3946</v>
      </c>
      <c r="B2166" s="403">
        <v>18</v>
      </c>
      <c r="C2166" s="166">
        <v>1590</v>
      </c>
      <c r="D2166" s="166">
        <v>100</v>
      </c>
      <c r="E2166" s="166" t="s">
        <v>1107</v>
      </c>
      <c r="F2166" s="166">
        <v>769.37262842144253</v>
      </c>
    </row>
    <row r="2167" spans="1:6">
      <c r="A2167" s="403">
        <v>3950</v>
      </c>
      <c r="B2167" s="403">
        <v>18</v>
      </c>
      <c r="C2167" s="166">
        <v>1590</v>
      </c>
      <c r="D2167" s="166">
        <v>100</v>
      </c>
      <c r="E2167" s="166" t="s">
        <v>1107</v>
      </c>
      <c r="F2167" s="166">
        <v>769.37262842144253</v>
      </c>
    </row>
    <row r="2168" spans="1:6">
      <c r="A2168" s="403">
        <v>3951</v>
      </c>
      <c r="B2168" s="403">
        <v>18</v>
      </c>
      <c r="C2168" s="166">
        <v>1590</v>
      </c>
      <c r="D2168" s="166">
        <v>100</v>
      </c>
      <c r="E2168" s="166" t="s">
        <v>1107</v>
      </c>
      <c r="F2168" s="166">
        <v>769.37262842144253</v>
      </c>
    </row>
    <row r="2169" spans="1:6">
      <c r="A2169" s="403">
        <v>3953</v>
      </c>
      <c r="B2169" s="403">
        <v>20</v>
      </c>
      <c r="C2169" s="166">
        <v>2021</v>
      </c>
      <c r="D2169" s="166">
        <v>136</v>
      </c>
      <c r="E2169" s="166" t="s">
        <v>1107</v>
      </c>
      <c r="F2169" s="166">
        <v>298.50401401720501</v>
      </c>
    </row>
    <row r="2170" spans="1:6">
      <c r="A2170" s="403">
        <v>3954</v>
      </c>
      <c r="B2170" s="403">
        <v>20</v>
      </c>
      <c r="C2170" s="166">
        <v>2021</v>
      </c>
      <c r="D2170" s="166">
        <v>136</v>
      </c>
      <c r="E2170" s="166" t="s">
        <v>1107</v>
      </c>
      <c r="F2170" s="166">
        <v>298.50401401720501</v>
      </c>
    </row>
    <row r="2171" spans="1:6">
      <c r="A2171" s="403">
        <v>3956</v>
      </c>
      <c r="B2171" s="403">
        <v>20</v>
      </c>
      <c r="C2171" s="166">
        <v>2021</v>
      </c>
      <c r="D2171" s="166">
        <v>136</v>
      </c>
      <c r="E2171" s="166" t="s">
        <v>1107</v>
      </c>
      <c r="F2171" s="166">
        <v>298.50401401720501</v>
      </c>
    </row>
    <row r="2172" spans="1:6">
      <c r="A2172" s="403">
        <v>3957</v>
      </c>
      <c r="B2172" s="403">
        <v>20</v>
      </c>
      <c r="C2172" s="166">
        <v>2021</v>
      </c>
      <c r="D2172" s="166">
        <v>136</v>
      </c>
      <c r="E2172" s="166" t="s">
        <v>1107</v>
      </c>
      <c r="F2172" s="166">
        <v>298.50401401720501</v>
      </c>
    </row>
    <row r="2173" spans="1:6">
      <c r="A2173" s="403">
        <v>3958</v>
      </c>
      <c r="B2173" s="403">
        <v>20</v>
      </c>
      <c r="C2173" s="166">
        <v>2021</v>
      </c>
      <c r="D2173" s="166">
        <v>136</v>
      </c>
      <c r="E2173" s="166" t="s">
        <v>1107</v>
      </c>
      <c r="F2173" s="166">
        <v>298.50401401720501</v>
      </c>
    </row>
    <row r="2174" spans="1:6">
      <c r="A2174" s="403">
        <v>3959</v>
      </c>
      <c r="B2174" s="403">
        <v>20</v>
      </c>
      <c r="C2174" s="166">
        <v>2021</v>
      </c>
      <c r="D2174" s="166">
        <v>136</v>
      </c>
      <c r="E2174" s="166" t="s">
        <v>1107</v>
      </c>
      <c r="F2174" s="166">
        <v>298.50401401720501</v>
      </c>
    </row>
    <row r="2175" spans="1:6">
      <c r="A2175" s="403">
        <v>3960</v>
      </c>
      <c r="B2175" s="403">
        <v>20</v>
      </c>
      <c r="C2175" s="166">
        <v>2021</v>
      </c>
      <c r="D2175" s="166">
        <v>136</v>
      </c>
      <c r="E2175" s="166" t="s">
        <v>1107</v>
      </c>
      <c r="F2175" s="166">
        <v>298.50401401720501</v>
      </c>
    </row>
    <row r="2176" spans="1:6">
      <c r="A2176" s="403">
        <v>3962</v>
      </c>
      <c r="B2176" s="403">
        <v>20</v>
      </c>
      <c r="C2176" s="166">
        <v>2021</v>
      </c>
      <c r="D2176" s="166">
        <v>136</v>
      </c>
      <c r="E2176" s="166" t="s">
        <v>1107</v>
      </c>
      <c r="F2176" s="166">
        <v>298.50401401720501</v>
      </c>
    </row>
    <row r="2177" spans="1:6">
      <c r="A2177" s="403">
        <v>3964</v>
      </c>
      <c r="B2177" s="403">
        <v>20</v>
      </c>
      <c r="C2177" s="166">
        <v>2021</v>
      </c>
      <c r="D2177" s="166">
        <v>136</v>
      </c>
      <c r="E2177" s="166" t="s">
        <v>1107</v>
      </c>
      <c r="F2177" s="166">
        <v>298.50401401720501</v>
      </c>
    </row>
    <row r="2178" spans="1:6">
      <c r="A2178" s="403">
        <v>3965</v>
      </c>
      <c r="B2178" s="403">
        <v>20</v>
      </c>
      <c r="C2178" s="166">
        <v>2021</v>
      </c>
      <c r="D2178" s="166">
        <v>136</v>
      </c>
      <c r="E2178" s="166" t="s">
        <v>1107</v>
      </c>
      <c r="F2178" s="166">
        <v>298.50401401720501</v>
      </c>
    </row>
    <row r="2179" spans="1:6">
      <c r="A2179" s="403">
        <v>3966</v>
      </c>
      <c r="B2179" s="403">
        <v>20</v>
      </c>
      <c r="C2179" s="166">
        <v>2021</v>
      </c>
      <c r="D2179" s="166">
        <v>136</v>
      </c>
      <c r="E2179" s="166" t="s">
        <v>1107</v>
      </c>
      <c r="F2179" s="166">
        <v>298.50401401720501</v>
      </c>
    </row>
    <row r="2180" spans="1:6">
      <c r="A2180" s="403">
        <v>3967</v>
      </c>
      <c r="B2180" s="403">
        <v>20</v>
      </c>
      <c r="C2180" s="166">
        <v>2021</v>
      </c>
      <c r="D2180" s="166">
        <v>136</v>
      </c>
      <c r="E2180" s="166" t="s">
        <v>1107</v>
      </c>
      <c r="F2180" s="166">
        <v>298.50401401720501</v>
      </c>
    </row>
    <row r="2181" spans="1:6">
      <c r="A2181" s="403">
        <v>3971</v>
      </c>
      <c r="B2181" s="403">
        <v>20</v>
      </c>
      <c r="C2181" s="166">
        <v>2021</v>
      </c>
      <c r="D2181" s="166">
        <v>136</v>
      </c>
      <c r="E2181" s="166" t="s">
        <v>1107</v>
      </c>
      <c r="F2181" s="166">
        <v>298.50401401720501</v>
      </c>
    </row>
    <row r="2182" spans="1:6">
      <c r="A2182" s="403">
        <v>3975</v>
      </c>
      <c r="B2182" s="403">
        <v>18</v>
      </c>
      <c r="C2182" s="166">
        <v>1590</v>
      </c>
      <c r="D2182" s="166">
        <v>100</v>
      </c>
      <c r="E2182" s="166" t="s">
        <v>1107</v>
      </c>
      <c r="F2182" s="166">
        <v>769.37262842144253</v>
      </c>
    </row>
    <row r="2183" spans="1:6">
      <c r="A2183" s="403">
        <v>3976</v>
      </c>
      <c r="B2183" s="403">
        <v>18</v>
      </c>
      <c r="C2183" s="166">
        <v>1590</v>
      </c>
      <c r="D2183" s="166">
        <v>100</v>
      </c>
      <c r="E2183" s="166" t="s">
        <v>1107</v>
      </c>
      <c r="F2183" s="166">
        <v>769.37262842144253</v>
      </c>
    </row>
    <row r="2184" spans="1:6">
      <c r="A2184" s="403">
        <v>3977</v>
      </c>
      <c r="B2184" s="403">
        <v>18</v>
      </c>
      <c r="C2184" s="166">
        <v>1590</v>
      </c>
      <c r="D2184" s="166">
        <v>100</v>
      </c>
      <c r="E2184" s="166" t="s">
        <v>1107</v>
      </c>
      <c r="F2184" s="166">
        <v>769.37262842144253</v>
      </c>
    </row>
    <row r="2185" spans="1:6">
      <c r="A2185" s="403">
        <v>3978</v>
      </c>
      <c r="B2185" s="403">
        <v>18</v>
      </c>
      <c r="C2185" s="166">
        <v>1590</v>
      </c>
      <c r="D2185" s="166">
        <v>100</v>
      </c>
      <c r="E2185" s="166" t="s">
        <v>1107</v>
      </c>
      <c r="F2185" s="166">
        <v>769.37262842144253</v>
      </c>
    </row>
    <row r="2186" spans="1:6">
      <c r="A2186" s="403">
        <v>3979</v>
      </c>
      <c r="B2186" s="403">
        <v>18</v>
      </c>
      <c r="C2186" s="166">
        <v>1590</v>
      </c>
      <c r="D2186" s="166">
        <v>100</v>
      </c>
      <c r="E2186" s="166" t="s">
        <v>1107</v>
      </c>
      <c r="F2186" s="166">
        <v>769.37262842144253</v>
      </c>
    </row>
    <row r="2187" spans="1:6">
      <c r="A2187" s="403">
        <v>3980</v>
      </c>
      <c r="B2187" s="403">
        <v>18</v>
      </c>
      <c r="C2187" s="166">
        <v>1590</v>
      </c>
      <c r="D2187" s="166">
        <v>100</v>
      </c>
      <c r="E2187" s="166" t="s">
        <v>1107</v>
      </c>
      <c r="F2187" s="166">
        <v>769.37262842144253</v>
      </c>
    </row>
    <row r="2188" spans="1:6">
      <c r="A2188" s="403">
        <v>3981</v>
      </c>
      <c r="B2188" s="403">
        <v>18</v>
      </c>
      <c r="C2188" s="166">
        <v>1590</v>
      </c>
      <c r="D2188" s="166">
        <v>100</v>
      </c>
      <c r="E2188" s="166" t="s">
        <v>1107</v>
      </c>
      <c r="F2188" s="166">
        <v>769.37262842144253</v>
      </c>
    </row>
    <row r="2189" spans="1:6">
      <c r="A2189" s="403">
        <v>3984</v>
      </c>
      <c r="B2189" s="403">
        <v>18</v>
      </c>
      <c r="C2189" s="166">
        <v>1590</v>
      </c>
      <c r="D2189" s="166">
        <v>100</v>
      </c>
      <c r="E2189" s="166" t="s">
        <v>1107</v>
      </c>
      <c r="F2189" s="166">
        <v>769.37262842144253</v>
      </c>
    </row>
    <row r="2190" spans="1:6">
      <c r="A2190" s="403">
        <v>3987</v>
      </c>
      <c r="B2190" s="403">
        <v>18</v>
      </c>
      <c r="C2190" s="166">
        <v>1590</v>
      </c>
      <c r="D2190" s="166">
        <v>100</v>
      </c>
      <c r="E2190" s="166" t="s">
        <v>1107</v>
      </c>
      <c r="F2190" s="166">
        <v>769.37262842144253</v>
      </c>
    </row>
    <row r="2191" spans="1:6">
      <c r="A2191" s="403">
        <v>3988</v>
      </c>
      <c r="B2191" s="403">
        <v>18</v>
      </c>
      <c r="C2191" s="166">
        <v>1590</v>
      </c>
      <c r="D2191" s="166">
        <v>100</v>
      </c>
      <c r="E2191" s="166" t="s">
        <v>1107</v>
      </c>
      <c r="F2191" s="166">
        <v>769.37262842144253</v>
      </c>
    </row>
    <row r="2192" spans="1:6">
      <c r="A2192" s="403">
        <v>3989</v>
      </c>
      <c r="B2192" s="403">
        <v>18</v>
      </c>
      <c r="C2192" s="166">
        <v>1590</v>
      </c>
      <c r="D2192" s="166">
        <v>100</v>
      </c>
      <c r="E2192" s="166" t="s">
        <v>1107</v>
      </c>
      <c r="F2192" s="166">
        <v>769.37262842144253</v>
      </c>
    </row>
    <row r="2193" spans="1:6">
      <c r="A2193" s="403">
        <v>3990</v>
      </c>
      <c r="B2193" s="403">
        <v>18</v>
      </c>
      <c r="C2193" s="166">
        <v>1590</v>
      </c>
      <c r="D2193" s="166">
        <v>100</v>
      </c>
      <c r="E2193" s="166" t="s">
        <v>1107</v>
      </c>
      <c r="F2193" s="166">
        <v>769.37262842144253</v>
      </c>
    </row>
    <row r="2194" spans="1:6">
      <c r="A2194" s="403">
        <v>3991</v>
      </c>
      <c r="B2194" s="403">
        <v>18</v>
      </c>
      <c r="C2194" s="166">
        <v>1590</v>
      </c>
      <c r="D2194" s="166">
        <v>100</v>
      </c>
      <c r="E2194" s="166" t="s">
        <v>1107</v>
      </c>
      <c r="F2194" s="166">
        <v>769.37262842144253</v>
      </c>
    </row>
    <row r="2195" spans="1:6">
      <c r="A2195" s="403">
        <v>3992</v>
      </c>
      <c r="B2195" s="403">
        <v>18</v>
      </c>
      <c r="C2195" s="166">
        <v>1590</v>
      </c>
      <c r="D2195" s="166">
        <v>100</v>
      </c>
      <c r="E2195" s="166" t="s">
        <v>1107</v>
      </c>
      <c r="F2195" s="166">
        <v>769.37262842144253</v>
      </c>
    </row>
    <row r="2196" spans="1:6">
      <c r="A2196" s="403">
        <v>3995</v>
      </c>
      <c r="B2196" s="403">
        <v>18</v>
      </c>
      <c r="C2196" s="166">
        <v>1590</v>
      </c>
      <c r="D2196" s="166">
        <v>100</v>
      </c>
      <c r="E2196" s="166" t="s">
        <v>1107</v>
      </c>
      <c r="F2196" s="166">
        <v>769.37262842144253</v>
      </c>
    </row>
    <row r="2197" spans="1:6">
      <c r="A2197" s="403">
        <v>3996</v>
      </c>
      <c r="B2197" s="403">
        <v>18</v>
      </c>
      <c r="C2197" s="166">
        <v>1590</v>
      </c>
      <c r="D2197" s="166">
        <v>100</v>
      </c>
      <c r="E2197" s="166" t="s">
        <v>1107</v>
      </c>
      <c r="F2197" s="166">
        <v>769.37262842144253</v>
      </c>
    </row>
    <row r="2198" spans="1:6">
      <c r="A2198" s="403">
        <v>4000</v>
      </c>
      <c r="B2198" s="403">
        <v>51</v>
      </c>
      <c r="C2198" s="166">
        <v>325</v>
      </c>
      <c r="D2198" s="166">
        <v>1043</v>
      </c>
      <c r="E2198" s="166" t="s">
        <v>1104</v>
      </c>
      <c r="F2198" s="166">
        <v>580.41128456734828</v>
      </c>
    </row>
    <row r="2199" spans="1:6">
      <c r="A2199" s="403">
        <v>4001</v>
      </c>
      <c r="B2199" s="403">
        <v>51</v>
      </c>
      <c r="C2199" s="166">
        <v>325</v>
      </c>
      <c r="D2199" s="166">
        <v>1043</v>
      </c>
      <c r="E2199" s="166" t="s">
        <v>1104</v>
      </c>
      <c r="F2199" s="166">
        <v>580.41128456734828</v>
      </c>
    </row>
    <row r="2200" spans="1:6">
      <c r="A2200" s="403">
        <v>4002</v>
      </c>
      <c r="B2200" s="403">
        <v>51</v>
      </c>
      <c r="C2200" s="166">
        <v>325</v>
      </c>
      <c r="D2200" s="166">
        <v>1043</v>
      </c>
      <c r="E2200" s="166" t="s">
        <v>1104</v>
      </c>
      <c r="F2200" s="166">
        <v>580.41128456734828</v>
      </c>
    </row>
    <row r="2201" spans="1:6">
      <c r="A2201" s="403">
        <v>4003</v>
      </c>
      <c r="B2201" s="403">
        <v>51</v>
      </c>
      <c r="C2201" s="166">
        <v>325</v>
      </c>
      <c r="D2201" s="166">
        <v>1043</v>
      </c>
      <c r="E2201" s="166" t="s">
        <v>1104</v>
      </c>
      <c r="F2201" s="166">
        <v>580.41128456734828</v>
      </c>
    </row>
    <row r="2202" spans="1:6">
      <c r="A2202" s="403">
        <v>4004</v>
      </c>
      <c r="B2202" s="403">
        <v>51</v>
      </c>
      <c r="C2202" s="166">
        <v>325</v>
      </c>
      <c r="D2202" s="166">
        <v>1043</v>
      </c>
      <c r="E2202" s="166" t="s">
        <v>1104</v>
      </c>
      <c r="F2202" s="166">
        <v>580.41128456734828</v>
      </c>
    </row>
    <row r="2203" spans="1:6">
      <c r="A2203" s="403">
        <v>4005</v>
      </c>
      <c r="B2203" s="403">
        <v>51</v>
      </c>
      <c r="C2203" s="166">
        <v>325</v>
      </c>
      <c r="D2203" s="166">
        <v>1043</v>
      </c>
      <c r="E2203" s="166" t="s">
        <v>1104</v>
      </c>
      <c r="F2203" s="166">
        <v>580.41128456734828</v>
      </c>
    </row>
    <row r="2204" spans="1:6">
      <c r="A2204" s="403">
        <v>4006</v>
      </c>
      <c r="B2204" s="403">
        <v>51</v>
      </c>
      <c r="C2204" s="166">
        <v>325</v>
      </c>
      <c r="D2204" s="166">
        <v>1043</v>
      </c>
      <c r="E2204" s="166" t="s">
        <v>1104</v>
      </c>
      <c r="F2204" s="166">
        <v>580.41128456734828</v>
      </c>
    </row>
    <row r="2205" spans="1:6">
      <c r="A2205" s="403">
        <v>4007</v>
      </c>
      <c r="B2205" s="403">
        <v>51</v>
      </c>
      <c r="C2205" s="166">
        <v>325</v>
      </c>
      <c r="D2205" s="166">
        <v>1043</v>
      </c>
      <c r="E2205" s="166" t="s">
        <v>1104</v>
      </c>
      <c r="F2205" s="166">
        <v>580.41128456734828</v>
      </c>
    </row>
    <row r="2206" spans="1:6">
      <c r="A2206" s="403">
        <v>4008</v>
      </c>
      <c r="B2206" s="403">
        <v>51</v>
      </c>
      <c r="C2206" s="166">
        <v>325</v>
      </c>
      <c r="D2206" s="166">
        <v>1043</v>
      </c>
      <c r="E2206" s="166" t="s">
        <v>1104</v>
      </c>
      <c r="F2206" s="166">
        <v>580.41128456734828</v>
      </c>
    </row>
    <row r="2207" spans="1:6">
      <c r="A2207" s="403">
        <v>4009</v>
      </c>
      <c r="B2207" s="403">
        <v>51</v>
      </c>
      <c r="C2207" s="166">
        <v>325</v>
      </c>
      <c r="D2207" s="166">
        <v>1043</v>
      </c>
      <c r="E2207" s="166" t="s">
        <v>1104</v>
      </c>
      <c r="F2207" s="166">
        <v>580.41128456734828</v>
      </c>
    </row>
    <row r="2208" spans="1:6">
      <c r="A2208" s="403">
        <v>4010</v>
      </c>
      <c r="B2208" s="403">
        <v>51</v>
      </c>
      <c r="C2208" s="166">
        <v>325</v>
      </c>
      <c r="D2208" s="166">
        <v>1043</v>
      </c>
      <c r="E2208" s="166" t="s">
        <v>1104</v>
      </c>
      <c r="F2208" s="166">
        <v>580.41128456734828</v>
      </c>
    </row>
    <row r="2209" spans="1:6">
      <c r="A2209" s="403">
        <v>4011</v>
      </c>
      <c r="B2209" s="403">
        <v>51</v>
      </c>
      <c r="C2209" s="166">
        <v>325</v>
      </c>
      <c r="D2209" s="166">
        <v>1043</v>
      </c>
      <c r="E2209" s="166" t="s">
        <v>1104</v>
      </c>
      <c r="F2209" s="166">
        <v>580.41128456734828</v>
      </c>
    </row>
    <row r="2210" spans="1:6">
      <c r="A2210" s="403">
        <v>4012</v>
      </c>
      <c r="B2210" s="403">
        <v>51</v>
      </c>
      <c r="C2210" s="166">
        <v>325</v>
      </c>
      <c r="D2210" s="166">
        <v>1043</v>
      </c>
      <c r="E2210" s="166" t="s">
        <v>1104</v>
      </c>
      <c r="F2210" s="166">
        <v>580.41128456734828</v>
      </c>
    </row>
    <row r="2211" spans="1:6">
      <c r="A2211" s="403">
        <v>4013</v>
      </c>
      <c r="B2211" s="403">
        <v>51</v>
      </c>
      <c r="C2211" s="166">
        <v>325</v>
      </c>
      <c r="D2211" s="166">
        <v>1043</v>
      </c>
      <c r="E2211" s="166" t="s">
        <v>1104</v>
      </c>
      <c r="F2211" s="166">
        <v>580.41128456734828</v>
      </c>
    </row>
    <row r="2212" spans="1:6">
      <c r="A2212" s="403">
        <v>4014</v>
      </c>
      <c r="B2212" s="403">
        <v>51</v>
      </c>
      <c r="C2212" s="166">
        <v>325</v>
      </c>
      <c r="D2212" s="166">
        <v>1043</v>
      </c>
      <c r="E2212" s="166" t="s">
        <v>1104</v>
      </c>
      <c r="F2212" s="166">
        <v>580.41128456734828</v>
      </c>
    </row>
    <row r="2213" spans="1:6">
      <c r="A2213" s="403">
        <v>4017</v>
      </c>
      <c r="B2213" s="403">
        <v>51</v>
      </c>
      <c r="C2213" s="166">
        <v>325</v>
      </c>
      <c r="D2213" s="166">
        <v>1043</v>
      </c>
      <c r="E2213" s="166" t="s">
        <v>1104</v>
      </c>
      <c r="F2213" s="166">
        <v>580.41128456734828</v>
      </c>
    </row>
    <row r="2214" spans="1:6">
      <c r="A2214" s="403">
        <v>4018</v>
      </c>
      <c r="B2214" s="403">
        <v>51</v>
      </c>
      <c r="C2214" s="166">
        <v>325</v>
      </c>
      <c r="D2214" s="166">
        <v>1043</v>
      </c>
      <c r="E2214" s="166" t="s">
        <v>1104</v>
      </c>
      <c r="F2214" s="166">
        <v>580.41128456734828</v>
      </c>
    </row>
    <row r="2215" spans="1:6">
      <c r="A2215" s="403">
        <v>4019</v>
      </c>
      <c r="B2215" s="403">
        <v>51</v>
      </c>
      <c r="C2215" s="166">
        <v>325</v>
      </c>
      <c r="D2215" s="166">
        <v>1043</v>
      </c>
      <c r="E2215" s="166" t="s">
        <v>1104</v>
      </c>
      <c r="F2215" s="166">
        <v>580.41128456734828</v>
      </c>
    </row>
    <row r="2216" spans="1:6">
      <c r="A2216" s="403">
        <v>4020</v>
      </c>
      <c r="B2216" s="403">
        <v>51</v>
      </c>
      <c r="C2216" s="166">
        <v>325</v>
      </c>
      <c r="D2216" s="166">
        <v>1043</v>
      </c>
      <c r="E2216" s="166" t="s">
        <v>1104</v>
      </c>
      <c r="F2216" s="166">
        <v>580.41128456734828</v>
      </c>
    </row>
    <row r="2217" spans="1:6">
      <c r="A2217" s="403">
        <v>4021</v>
      </c>
      <c r="B2217" s="403">
        <v>51</v>
      </c>
      <c r="C2217" s="166">
        <v>325</v>
      </c>
      <c r="D2217" s="166">
        <v>1043</v>
      </c>
      <c r="E2217" s="166" t="s">
        <v>1104</v>
      </c>
      <c r="F2217" s="166">
        <v>580.41128456734828</v>
      </c>
    </row>
    <row r="2218" spans="1:6">
      <c r="A2218" s="403">
        <v>4022</v>
      </c>
      <c r="B2218" s="403">
        <v>51</v>
      </c>
      <c r="C2218" s="166">
        <v>325</v>
      </c>
      <c r="D2218" s="166">
        <v>1043</v>
      </c>
      <c r="E2218" s="166" t="s">
        <v>1104</v>
      </c>
      <c r="F2218" s="166">
        <v>580.41128456734828</v>
      </c>
    </row>
    <row r="2219" spans="1:6">
      <c r="A2219" s="403">
        <v>4025</v>
      </c>
      <c r="B2219" s="403">
        <v>51</v>
      </c>
      <c r="C2219" s="166">
        <v>325</v>
      </c>
      <c r="D2219" s="166">
        <v>1043</v>
      </c>
      <c r="E2219" s="166" t="s">
        <v>1104</v>
      </c>
      <c r="F2219" s="166">
        <v>580.41128456734828</v>
      </c>
    </row>
    <row r="2220" spans="1:6">
      <c r="A2220" s="403">
        <v>4029</v>
      </c>
      <c r="B2220" s="403">
        <v>51</v>
      </c>
      <c r="C2220" s="166">
        <v>325</v>
      </c>
      <c r="D2220" s="166">
        <v>1043</v>
      </c>
      <c r="E2220" s="166" t="s">
        <v>1104</v>
      </c>
      <c r="F2220" s="166">
        <v>580.41128456734828</v>
      </c>
    </row>
    <row r="2221" spans="1:6">
      <c r="A2221" s="403">
        <v>4030</v>
      </c>
      <c r="B2221" s="403">
        <v>51</v>
      </c>
      <c r="C2221" s="166">
        <v>325</v>
      </c>
      <c r="D2221" s="166">
        <v>1043</v>
      </c>
      <c r="E2221" s="166" t="s">
        <v>1104</v>
      </c>
      <c r="F2221" s="166">
        <v>580.41128456734828</v>
      </c>
    </row>
    <row r="2222" spans="1:6">
      <c r="A2222" s="403">
        <v>4031</v>
      </c>
      <c r="B2222" s="403">
        <v>51</v>
      </c>
      <c r="C2222" s="166">
        <v>325</v>
      </c>
      <c r="D2222" s="166">
        <v>1043</v>
      </c>
      <c r="E2222" s="166" t="s">
        <v>1104</v>
      </c>
      <c r="F2222" s="166">
        <v>580.41128456734828</v>
      </c>
    </row>
    <row r="2223" spans="1:6">
      <c r="A2223" s="403">
        <v>4032</v>
      </c>
      <c r="B2223" s="403">
        <v>51</v>
      </c>
      <c r="C2223" s="166">
        <v>325</v>
      </c>
      <c r="D2223" s="166">
        <v>1043</v>
      </c>
      <c r="E2223" s="166" t="s">
        <v>1104</v>
      </c>
      <c r="F2223" s="166">
        <v>580.41128456734828</v>
      </c>
    </row>
    <row r="2224" spans="1:6">
      <c r="A2224" s="403">
        <v>4034</v>
      </c>
      <c r="B2224" s="403">
        <v>51</v>
      </c>
      <c r="C2224" s="166">
        <v>325</v>
      </c>
      <c r="D2224" s="166">
        <v>1043</v>
      </c>
      <c r="E2224" s="166" t="s">
        <v>1104</v>
      </c>
      <c r="F2224" s="166">
        <v>580.41128456734828</v>
      </c>
    </row>
    <row r="2225" spans="1:6">
      <c r="A2225" s="403">
        <v>4035</v>
      </c>
      <c r="B2225" s="403">
        <v>51</v>
      </c>
      <c r="C2225" s="166">
        <v>325</v>
      </c>
      <c r="D2225" s="166">
        <v>1043</v>
      </c>
      <c r="E2225" s="166" t="s">
        <v>1104</v>
      </c>
      <c r="F2225" s="166">
        <v>580.41128456734828</v>
      </c>
    </row>
    <row r="2226" spans="1:6">
      <c r="A2226" s="403">
        <v>4036</v>
      </c>
      <c r="B2226" s="403">
        <v>51</v>
      </c>
      <c r="C2226" s="166">
        <v>325</v>
      </c>
      <c r="D2226" s="166">
        <v>1043</v>
      </c>
      <c r="E2226" s="166" t="s">
        <v>1104</v>
      </c>
      <c r="F2226" s="166">
        <v>580.41128456734828</v>
      </c>
    </row>
    <row r="2227" spans="1:6">
      <c r="A2227" s="403">
        <v>4037</v>
      </c>
      <c r="B2227" s="403">
        <v>51</v>
      </c>
      <c r="C2227" s="166">
        <v>325</v>
      </c>
      <c r="D2227" s="166">
        <v>1043</v>
      </c>
      <c r="E2227" s="166" t="s">
        <v>1104</v>
      </c>
      <c r="F2227" s="166">
        <v>580.41128456734828</v>
      </c>
    </row>
    <row r="2228" spans="1:6">
      <c r="A2228" s="403">
        <v>4051</v>
      </c>
      <c r="B2228" s="403">
        <v>51</v>
      </c>
      <c r="C2228" s="166">
        <v>325</v>
      </c>
      <c r="D2228" s="166">
        <v>1043</v>
      </c>
      <c r="E2228" s="166" t="s">
        <v>1104</v>
      </c>
      <c r="F2228" s="166">
        <v>580.41128456734828</v>
      </c>
    </row>
    <row r="2229" spans="1:6">
      <c r="A2229" s="403">
        <v>4052</v>
      </c>
      <c r="B2229" s="403">
        <v>51</v>
      </c>
      <c r="C2229" s="166">
        <v>325</v>
      </c>
      <c r="D2229" s="166">
        <v>1043</v>
      </c>
      <c r="E2229" s="166" t="s">
        <v>1104</v>
      </c>
      <c r="F2229" s="166">
        <v>580.41128456734828</v>
      </c>
    </row>
    <row r="2230" spans="1:6">
      <c r="A2230" s="403">
        <v>4053</v>
      </c>
      <c r="B2230" s="403">
        <v>51</v>
      </c>
      <c r="C2230" s="166">
        <v>325</v>
      </c>
      <c r="D2230" s="166">
        <v>1043</v>
      </c>
      <c r="E2230" s="166" t="s">
        <v>1104</v>
      </c>
      <c r="F2230" s="166">
        <v>580.41128456734828</v>
      </c>
    </row>
    <row r="2231" spans="1:6">
      <c r="A2231" s="403">
        <v>4054</v>
      </c>
      <c r="B2231" s="403">
        <v>51</v>
      </c>
      <c r="C2231" s="166">
        <v>325</v>
      </c>
      <c r="D2231" s="166">
        <v>1043</v>
      </c>
      <c r="E2231" s="166" t="s">
        <v>1104</v>
      </c>
      <c r="F2231" s="166">
        <v>580.41128456734828</v>
      </c>
    </row>
    <row r="2232" spans="1:6">
      <c r="A2232" s="403">
        <v>4055</v>
      </c>
      <c r="B2232" s="403">
        <v>51</v>
      </c>
      <c r="C2232" s="166">
        <v>325</v>
      </c>
      <c r="D2232" s="166">
        <v>1043</v>
      </c>
      <c r="E2232" s="166" t="s">
        <v>1104</v>
      </c>
      <c r="F2232" s="166">
        <v>580.41128456734828</v>
      </c>
    </row>
    <row r="2233" spans="1:6">
      <c r="A2233" s="403">
        <v>4059</v>
      </c>
      <c r="B2233" s="403">
        <v>51</v>
      </c>
      <c r="C2233" s="166">
        <v>325</v>
      </c>
      <c r="D2233" s="166">
        <v>1043</v>
      </c>
      <c r="E2233" s="166" t="s">
        <v>1104</v>
      </c>
      <c r="F2233" s="166">
        <v>580.41128456734828</v>
      </c>
    </row>
    <row r="2234" spans="1:6">
      <c r="A2234" s="403">
        <v>4060</v>
      </c>
      <c r="B2234" s="403">
        <v>51</v>
      </c>
      <c r="C2234" s="166">
        <v>325</v>
      </c>
      <c r="D2234" s="166">
        <v>1043</v>
      </c>
      <c r="E2234" s="166" t="s">
        <v>1104</v>
      </c>
      <c r="F2234" s="166">
        <v>580.41128456734828</v>
      </c>
    </row>
    <row r="2235" spans="1:6">
      <c r="A2235" s="403">
        <v>4061</v>
      </c>
      <c r="B2235" s="403">
        <v>51</v>
      </c>
      <c r="C2235" s="166">
        <v>325</v>
      </c>
      <c r="D2235" s="166">
        <v>1043</v>
      </c>
      <c r="E2235" s="166" t="s">
        <v>1104</v>
      </c>
      <c r="F2235" s="166">
        <v>580.41128456734828</v>
      </c>
    </row>
    <row r="2236" spans="1:6">
      <c r="A2236" s="403">
        <v>4064</v>
      </c>
      <c r="B2236" s="403">
        <v>51</v>
      </c>
      <c r="C2236" s="166">
        <v>325</v>
      </c>
      <c r="D2236" s="166">
        <v>1043</v>
      </c>
      <c r="E2236" s="166" t="s">
        <v>1104</v>
      </c>
      <c r="F2236" s="166">
        <v>580.41128456734828</v>
      </c>
    </row>
    <row r="2237" spans="1:6">
      <c r="A2237" s="403">
        <v>4065</v>
      </c>
      <c r="B2237" s="403">
        <v>51</v>
      </c>
      <c r="C2237" s="166">
        <v>325</v>
      </c>
      <c r="D2237" s="166">
        <v>1043</v>
      </c>
      <c r="E2237" s="166" t="s">
        <v>1104</v>
      </c>
      <c r="F2237" s="166">
        <v>580.41128456734828</v>
      </c>
    </row>
    <row r="2238" spans="1:6">
      <c r="A2238" s="403">
        <v>4066</v>
      </c>
      <c r="B2238" s="403">
        <v>51</v>
      </c>
      <c r="C2238" s="166">
        <v>325</v>
      </c>
      <c r="D2238" s="166">
        <v>1043</v>
      </c>
      <c r="E2238" s="166" t="s">
        <v>1104</v>
      </c>
      <c r="F2238" s="166">
        <v>580.41128456734828</v>
      </c>
    </row>
    <row r="2239" spans="1:6">
      <c r="A2239" s="403">
        <v>4067</v>
      </c>
      <c r="B2239" s="403">
        <v>51</v>
      </c>
      <c r="C2239" s="166">
        <v>325</v>
      </c>
      <c r="D2239" s="166">
        <v>1043</v>
      </c>
      <c r="E2239" s="166" t="s">
        <v>1104</v>
      </c>
      <c r="F2239" s="166">
        <v>580.41128456734828</v>
      </c>
    </row>
    <row r="2240" spans="1:6">
      <c r="A2240" s="403">
        <v>4068</v>
      </c>
      <c r="B2240" s="403">
        <v>51</v>
      </c>
      <c r="C2240" s="166">
        <v>325</v>
      </c>
      <c r="D2240" s="166">
        <v>1043</v>
      </c>
      <c r="E2240" s="166" t="s">
        <v>1104</v>
      </c>
      <c r="F2240" s="166">
        <v>580.41128456734828</v>
      </c>
    </row>
    <row r="2241" spans="1:6">
      <c r="A2241" s="403">
        <v>4069</v>
      </c>
      <c r="B2241" s="403">
        <v>51</v>
      </c>
      <c r="C2241" s="166">
        <v>325</v>
      </c>
      <c r="D2241" s="166">
        <v>1043</v>
      </c>
      <c r="E2241" s="166" t="s">
        <v>1104</v>
      </c>
      <c r="F2241" s="166">
        <v>580.41128456734828</v>
      </c>
    </row>
    <row r="2242" spans="1:6">
      <c r="A2242" s="403">
        <v>4070</v>
      </c>
      <c r="B2242" s="403">
        <v>51</v>
      </c>
      <c r="C2242" s="166">
        <v>325</v>
      </c>
      <c r="D2242" s="166">
        <v>1043</v>
      </c>
      <c r="E2242" s="166" t="s">
        <v>1104</v>
      </c>
      <c r="F2242" s="166">
        <v>580.41128456734828</v>
      </c>
    </row>
    <row r="2243" spans="1:6">
      <c r="A2243" s="403">
        <v>4072</v>
      </c>
      <c r="B2243" s="403">
        <v>51</v>
      </c>
      <c r="C2243" s="166">
        <v>325</v>
      </c>
      <c r="D2243" s="166">
        <v>1043</v>
      </c>
      <c r="E2243" s="166" t="s">
        <v>1104</v>
      </c>
      <c r="F2243" s="166">
        <v>580.41128456734828</v>
      </c>
    </row>
    <row r="2244" spans="1:6">
      <c r="A2244" s="403">
        <v>4073</v>
      </c>
      <c r="B2244" s="403">
        <v>51</v>
      </c>
      <c r="C2244" s="166">
        <v>325</v>
      </c>
      <c r="D2244" s="166">
        <v>1043</v>
      </c>
      <c r="E2244" s="166" t="s">
        <v>1104</v>
      </c>
      <c r="F2244" s="166">
        <v>580.41128456734828</v>
      </c>
    </row>
    <row r="2245" spans="1:6">
      <c r="A2245" s="403">
        <v>4074</v>
      </c>
      <c r="B2245" s="403">
        <v>51</v>
      </c>
      <c r="C2245" s="166">
        <v>325</v>
      </c>
      <c r="D2245" s="166">
        <v>1043</v>
      </c>
      <c r="E2245" s="166" t="s">
        <v>1104</v>
      </c>
      <c r="F2245" s="166">
        <v>580.41128456734828</v>
      </c>
    </row>
    <row r="2246" spans="1:6">
      <c r="A2246" s="403">
        <v>4075</v>
      </c>
      <c r="B2246" s="403">
        <v>51</v>
      </c>
      <c r="C2246" s="166">
        <v>325</v>
      </c>
      <c r="D2246" s="166">
        <v>1043</v>
      </c>
      <c r="E2246" s="166" t="s">
        <v>1104</v>
      </c>
      <c r="F2246" s="166">
        <v>580.41128456734828</v>
      </c>
    </row>
    <row r="2247" spans="1:6">
      <c r="A2247" s="403">
        <v>4076</v>
      </c>
      <c r="B2247" s="403">
        <v>51</v>
      </c>
      <c r="C2247" s="166">
        <v>325</v>
      </c>
      <c r="D2247" s="166">
        <v>1043</v>
      </c>
      <c r="E2247" s="166" t="s">
        <v>1104</v>
      </c>
      <c r="F2247" s="166">
        <v>580.41128456734828</v>
      </c>
    </row>
    <row r="2248" spans="1:6">
      <c r="A2248" s="403">
        <v>4077</v>
      </c>
      <c r="B2248" s="403">
        <v>51</v>
      </c>
      <c r="C2248" s="166">
        <v>325</v>
      </c>
      <c r="D2248" s="166">
        <v>1043</v>
      </c>
      <c r="E2248" s="166" t="s">
        <v>1104</v>
      </c>
      <c r="F2248" s="166">
        <v>580.41128456734828</v>
      </c>
    </row>
    <row r="2249" spans="1:6">
      <c r="A2249" s="403">
        <v>4078</v>
      </c>
      <c r="B2249" s="403">
        <v>51</v>
      </c>
      <c r="C2249" s="166">
        <v>325</v>
      </c>
      <c r="D2249" s="166">
        <v>1043</v>
      </c>
      <c r="E2249" s="166" t="s">
        <v>1104</v>
      </c>
      <c r="F2249" s="166">
        <v>580.41128456734828</v>
      </c>
    </row>
    <row r="2250" spans="1:6">
      <c r="A2250" s="403">
        <v>4101</v>
      </c>
      <c r="B2250" s="403">
        <v>51</v>
      </c>
      <c r="C2250" s="166">
        <v>325</v>
      </c>
      <c r="D2250" s="166">
        <v>1043</v>
      </c>
      <c r="E2250" s="166" t="s">
        <v>1104</v>
      </c>
      <c r="F2250" s="166">
        <v>580.41128456734828</v>
      </c>
    </row>
    <row r="2251" spans="1:6">
      <c r="A2251" s="403">
        <v>4102</v>
      </c>
      <c r="B2251" s="403">
        <v>51</v>
      </c>
      <c r="C2251" s="166">
        <v>325</v>
      </c>
      <c r="D2251" s="166">
        <v>1043</v>
      </c>
      <c r="E2251" s="166" t="s">
        <v>1104</v>
      </c>
      <c r="F2251" s="166">
        <v>580.41128456734828</v>
      </c>
    </row>
    <row r="2252" spans="1:6">
      <c r="A2252" s="403">
        <v>4103</v>
      </c>
      <c r="B2252" s="403">
        <v>51</v>
      </c>
      <c r="C2252" s="166">
        <v>325</v>
      </c>
      <c r="D2252" s="166">
        <v>1043</v>
      </c>
      <c r="E2252" s="166" t="s">
        <v>1104</v>
      </c>
      <c r="F2252" s="166">
        <v>580.41128456734828</v>
      </c>
    </row>
    <row r="2253" spans="1:6">
      <c r="A2253" s="403">
        <v>4104</v>
      </c>
      <c r="B2253" s="403">
        <v>51</v>
      </c>
      <c r="C2253" s="166">
        <v>325</v>
      </c>
      <c r="D2253" s="166">
        <v>1043</v>
      </c>
      <c r="E2253" s="166" t="s">
        <v>1104</v>
      </c>
      <c r="F2253" s="166">
        <v>580.41128456734828</v>
      </c>
    </row>
    <row r="2254" spans="1:6">
      <c r="A2254" s="403">
        <v>4105</v>
      </c>
      <c r="B2254" s="403">
        <v>51</v>
      </c>
      <c r="C2254" s="166">
        <v>325</v>
      </c>
      <c r="D2254" s="166">
        <v>1043</v>
      </c>
      <c r="E2254" s="166" t="s">
        <v>1104</v>
      </c>
      <c r="F2254" s="166">
        <v>580.41128456734828</v>
      </c>
    </row>
    <row r="2255" spans="1:6">
      <c r="A2255" s="403">
        <v>4106</v>
      </c>
      <c r="B2255" s="403">
        <v>51</v>
      </c>
      <c r="C2255" s="166">
        <v>325</v>
      </c>
      <c r="D2255" s="166">
        <v>1043</v>
      </c>
      <c r="E2255" s="166" t="s">
        <v>1104</v>
      </c>
      <c r="F2255" s="166">
        <v>580.41128456734828</v>
      </c>
    </row>
    <row r="2256" spans="1:6">
      <c r="A2256" s="403">
        <v>4107</v>
      </c>
      <c r="B2256" s="403">
        <v>51</v>
      </c>
      <c r="C2256" s="166">
        <v>325</v>
      </c>
      <c r="D2256" s="166">
        <v>1043</v>
      </c>
      <c r="E2256" s="166" t="s">
        <v>1104</v>
      </c>
      <c r="F2256" s="166">
        <v>580.41128456734828</v>
      </c>
    </row>
    <row r="2257" spans="1:6">
      <c r="A2257" s="403">
        <v>4108</v>
      </c>
      <c r="B2257" s="403">
        <v>51</v>
      </c>
      <c r="C2257" s="166">
        <v>325</v>
      </c>
      <c r="D2257" s="166">
        <v>1043</v>
      </c>
      <c r="E2257" s="166" t="s">
        <v>1104</v>
      </c>
      <c r="F2257" s="166">
        <v>580.41128456734828</v>
      </c>
    </row>
    <row r="2258" spans="1:6">
      <c r="A2258" s="403">
        <v>4109</v>
      </c>
      <c r="B2258" s="403">
        <v>51</v>
      </c>
      <c r="C2258" s="166">
        <v>325</v>
      </c>
      <c r="D2258" s="166">
        <v>1043</v>
      </c>
      <c r="E2258" s="166" t="s">
        <v>1104</v>
      </c>
      <c r="F2258" s="166">
        <v>580.41128456734828</v>
      </c>
    </row>
    <row r="2259" spans="1:6">
      <c r="A2259" s="403">
        <v>4110</v>
      </c>
      <c r="B2259" s="403">
        <v>51</v>
      </c>
      <c r="C2259" s="166">
        <v>325</v>
      </c>
      <c r="D2259" s="166">
        <v>1043</v>
      </c>
      <c r="E2259" s="166" t="s">
        <v>1104</v>
      </c>
      <c r="F2259" s="166">
        <v>580.41128456734828</v>
      </c>
    </row>
    <row r="2260" spans="1:6">
      <c r="A2260" s="403">
        <v>4111</v>
      </c>
      <c r="B2260" s="403">
        <v>51</v>
      </c>
      <c r="C2260" s="166">
        <v>325</v>
      </c>
      <c r="D2260" s="166">
        <v>1043</v>
      </c>
      <c r="E2260" s="166" t="s">
        <v>1104</v>
      </c>
      <c r="F2260" s="166">
        <v>580.41128456734828</v>
      </c>
    </row>
    <row r="2261" spans="1:6">
      <c r="A2261" s="403">
        <v>4112</v>
      </c>
      <c r="B2261" s="403">
        <v>51</v>
      </c>
      <c r="C2261" s="166">
        <v>325</v>
      </c>
      <c r="D2261" s="166">
        <v>1043</v>
      </c>
      <c r="E2261" s="166" t="s">
        <v>1104</v>
      </c>
      <c r="F2261" s="166">
        <v>580.41128456734828</v>
      </c>
    </row>
    <row r="2262" spans="1:6">
      <c r="A2262" s="403">
        <v>4113</v>
      </c>
      <c r="B2262" s="403">
        <v>51</v>
      </c>
      <c r="C2262" s="166">
        <v>325</v>
      </c>
      <c r="D2262" s="166">
        <v>1043</v>
      </c>
      <c r="E2262" s="166" t="s">
        <v>1104</v>
      </c>
      <c r="F2262" s="166">
        <v>580.41128456734828</v>
      </c>
    </row>
    <row r="2263" spans="1:6">
      <c r="A2263" s="403">
        <v>4114</v>
      </c>
      <c r="B2263" s="403">
        <v>51</v>
      </c>
      <c r="C2263" s="166">
        <v>325</v>
      </c>
      <c r="D2263" s="166">
        <v>1043</v>
      </c>
      <c r="E2263" s="166" t="s">
        <v>1104</v>
      </c>
      <c r="F2263" s="166">
        <v>580.41128456734828</v>
      </c>
    </row>
    <row r="2264" spans="1:6">
      <c r="A2264" s="403">
        <v>4115</v>
      </c>
      <c r="B2264" s="403">
        <v>51</v>
      </c>
      <c r="C2264" s="166">
        <v>325</v>
      </c>
      <c r="D2264" s="166">
        <v>1043</v>
      </c>
      <c r="E2264" s="166" t="s">
        <v>1104</v>
      </c>
      <c r="F2264" s="166">
        <v>580.41128456734828</v>
      </c>
    </row>
    <row r="2265" spans="1:6">
      <c r="A2265" s="403">
        <v>4116</v>
      </c>
      <c r="B2265" s="403">
        <v>51</v>
      </c>
      <c r="C2265" s="166">
        <v>325</v>
      </c>
      <c r="D2265" s="166">
        <v>1043</v>
      </c>
      <c r="E2265" s="166" t="s">
        <v>1104</v>
      </c>
      <c r="F2265" s="166">
        <v>580.41128456734828</v>
      </c>
    </row>
    <row r="2266" spans="1:6">
      <c r="A2266" s="403">
        <v>4117</v>
      </c>
      <c r="B2266" s="403">
        <v>51</v>
      </c>
      <c r="C2266" s="166">
        <v>325</v>
      </c>
      <c r="D2266" s="166">
        <v>1043</v>
      </c>
      <c r="E2266" s="166" t="s">
        <v>1104</v>
      </c>
      <c r="F2266" s="166">
        <v>580.41128456734828</v>
      </c>
    </row>
    <row r="2267" spans="1:6">
      <c r="A2267" s="403">
        <v>4118</v>
      </c>
      <c r="B2267" s="403">
        <v>51</v>
      </c>
      <c r="C2267" s="166">
        <v>325</v>
      </c>
      <c r="D2267" s="166">
        <v>1043</v>
      </c>
      <c r="E2267" s="166" t="s">
        <v>1104</v>
      </c>
      <c r="F2267" s="166">
        <v>580.41128456734828</v>
      </c>
    </row>
    <row r="2268" spans="1:6">
      <c r="A2268" s="403">
        <v>4119</v>
      </c>
      <c r="B2268" s="403">
        <v>51</v>
      </c>
      <c r="C2268" s="166">
        <v>325</v>
      </c>
      <c r="D2268" s="166">
        <v>1043</v>
      </c>
      <c r="E2268" s="166" t="s">
        <v>1104</v>
      </c>
      <c r="F2268" s="166">
        <v>580.41128456734828</v>
      </c>
    </row>
    <row r="2269" spans="1:6">
      <c r="A2269" s="403">
        <v>4120</v>
      </c>
      <c r="B2269" s="403">
        <v>51</v>
      </c>
      <c r="C2269" s="166">
        <v>325</v>
      </c>
      <c r="D2269" s="166">
        <v>1043</v>
      </c>
      <c r="E2269" s="166" t="s">
        <v>1104</v>
      </c>
      <c r="F2269" s="166">
        <v>580.41128456734828</v>
      </c>
    </row>
    <row r="2270" spans="1:6">
      <c r="A2270" s="403">
        <v>4121</v>
      </c>
      <c r="B2270" s="403">
        <v>51</v>
      </c>
      <c r="C2270" s="166">
        <v>325</v>
      </c>
      <c r="D2270" s="166">
        <v>1043</v>
      </c>
      <c r="E2270" s="166" t="s">
        <v>1104</v>
      </c>
      <c r="F2270" s="166">
        <v>580.41128456734828</v>
      </c>
    </row>
    <row r="2271" spans="1:6">
      <c r="A2271" s="403">
        <v>4122</v>
      </c>
      <c r="B2271" s="403">
        <v>51</v>
      </c>
      <c r="C2271" s="166">
        <v>325</v>
      </c>
      <c r="D2271" s="166">
        <v>1043</v>
      </c>
      <c r="E2271" s="166" t="s">
        <v>1104</v>
      </c>
      <c r="F2271" s="166">
        <v>580.41128456734828</v>
      </c>
    </row>
    <row r="2272" spans="1:6">
      <c r="A2272" s="403">
        <v>4123</v>
      </c>
      <c r="B2272" s="403">
        <v>51</v>
      </c>
      <c r="C2272" s="166">
        <v>325</v>
      </c>
      <c r="D2272" s="166">
        <v>1043</v>
      </c>
      <c r="E2272" s="166" t="s">
        <v>1104</v>
      </c>
      <c r="F2272" s="166">
        <v>580.41128456734828</v>
      </c>
    </row>
    <row r="2273" spans="1:6">
      <c r="A2273" s="403">
        <v>4124</v>
      </c>
      <c r="B2273" s="403">
        <v>51</v>
      </c>
      <c r="C2273" s="166">
        <v>325</v>
      </c>
      <c r="D2273" s="166">
        <v>1043</v>
      </c>
      <c r="E2273" s="166" t="s">
        <v>1104</v>
      </c>
      <c r="F2273" s="166">
        <v>580.41128456734828</v>
      </c>
    </row>
    <row r="2274" spans="1:6">
      <c r="A2274" s="403">
        <v>4125</v>
      </c>
      <c r="B2274" s="403">
        <v>51</v>
      </c>
      <c r="C2274" s="166">
        <v>325</v>
      </c>
      <c r="D2274" s="166">
        <v>1043</v>
      </c>
      <c r="E2274" s="166" t="s">
        <v>1104</v>
      </c>
      <c r="F2274" s="166">
        <v>580.41128456734828</v>
      </c>
    </row>
    <row r="2275" spans="1:6">
      <c r="A2275" s="403">
        <v>4127</v>
      </c>
      <c r="B2275" s="403">
        <v>51</v>
      </c>
      <c r="C2275" s="166">
        <v>325</v>
      </c>
      <c r="D2275" s="166">
        <v>1043</v>
      </c>
      <c r="E2275" s="166" t="s">
        <v>1104</v>
      </c>
      <c r="F2275" s="166">
        <v>580.41128456734828</v>
      </c>
    </row>
    <row r="2276" spans="1:6">
      <c r="A2276" s="403">
        <v>4128</v>
      </c>
      <c r="B2276" s="403">
        <v>51</v>
      </c>
      <c r="C2276" s="166">
        <v>325</v>
      </c>
      <c r="D2276" s="166">
        <v>1043</v>
      </c>
      <c r="E2276" s="166" t="s">
        <v>1104</v>
      </c>
      <c r="F2276" s="166">
        <v>580.41128456734828</v>
      </c>
    </row>
    <row r="2277" spans="1:6">
      <c r="A2277" s="403">
        <v>4129</v>
      </c>
      <c r="B2277" s="403">
        <v>51</v>
      </c>
      <c r="C2277" s="166">
        <v>325</v>
      </c>
      <c r="D2277" s="166">
        <v>1043</v>
      </c>
      <c r="E2277" s="166" t="s">
        <v>1104</v>
      </c>
      <c r="F2277" s="166">
        <v>580.41128456734828</v>
      </c>
    </row>
    <row r="2278" spans="1:6">
      <c r="A2278" s="403">
        <v>4130</v>
      </c>
      <c r="B2278" s="403">
        <v>51</v>
      </c>
      <c r="C2278" s="166">
        <v>325</v>
      </c>
      <c r="D2278" s="166">
        <v>1043</v>
      </c>
      <c r="E2278" s="166" t="s">
        <v>1104</v>
      </c>
      <c r="F2278" s="166">
        <v>580.41128456734828</v>
      </c>
    </row>
    <row r="2279" spans="1:6">
      <c r="A2279" s="403">
        <v>4131</v>
      </c>
      <c r="B2279" s="403">
        <v>51</v>
      </c>
      <c r="C2279" s="166">
        <v>325</v>
      </c>
      <c r="D2279" s="166">
        <v>1043</v>
      </c>
      <c r="E2279" s="166" t="s">
        <v>1104</v>
      </c>
      <c r="F2279" s="166">
        <v>580.41128456734828</v>
      </c>
    </row>
    <row r="2280" spans="1:6">
      <c r="A2280" s="403">
        <v>4132</v>
      </c>
      <c r="B2280" s="403">
        <v>51</v>
      </c>
      <c r="C2280" s="166">
        <v>325</v>
      </c>
      <c r="D2280" s="166">
        <v>1043</v>
      </c>
      <c r="E2280" s="166" t="s">
        <v>1104</v>
      </c>
      <c r="F2280" s="166">
        <v>580.41128456734828</v>
      </c>
    </row>
    <row r="2281" spans="1:6">
      <c r="A2281" s="403">
        <v>4133</v>
      </c>
      <c r="B2281" s="403">
        <v>51</v>
      </c>
      <c r="C2281" s="166">
        <v>325</v>
      </c>
      <c r="D2281" s="166">
        <v>1043</v>
      </c>
      <c r="E2281" s="166" t="s">
        <v>1104</v>
      </c>
      <c r="F2281" s="166">
        <v>580.41128456734828</v>
      </c>
    </row>
    <row r="2282" spans="1:6">
      <c r="A2282" s="403">
        <v>4151</v>
      </c>
      <c r="B2282" s="403">
        <v>51</v>
      </c>
      <c r="C2282" s="166">
        <v>325</v>
      </c>
      <c r="D2282" s="166">
        <v>1043</v>
      </c>
      <c r="E2282" s="166" t="s">
        <v>1104</v>
      </c>
      <c r="F2282" s="166">
        <v>580.41128456734828</v>
      </c>
    </row>
    <row r="2283" spans="1:6">
      <c r="A2283" s="403">
        <v>4152</v>
      </c>
      <c r="B2283" s="403">
        <v>51</v>
      </c>
      <c r="C2283" s="166">
        <v>325</v>
      </c>
      <c r="D2283" s="166">
        <v>1043</v>
      </c>
      <c r="E2283" s="166" t="s">
        <v>1104</v>
      </c>
      <c r="F2283" s="166">
        <v>580.41128456734828</v>
      </c>
    </row>
    <row r="2284" spans="1:6">
      <c r="A2284" s="403">
        <v>4153</v>
      </c>
      <c r="B2284" s="403">
        <v>51</v>
      </c>
      <c r="C2284" s="166">
        <v>325</v>
      </c>
      <c r="D2284" s="166">
        <v>1043</v>
      </c>
      <c r="E2284" s="166" t="s">
        <v>1104</v>
      </c>
      <c r="F2284" s="166">
        <v>580.41128456734828</v>
      </c>
    </row>
    <row r="2285" spans="1:6">
      <c r="A2285" s="403">
        <v>4154</v>
      </c>
      <c r="B2285" s="403">
        <v>51</v>
      </c>
      <c r="C2285" s="166">
        <v>325</v>
      </c>
      <c r="D2285" s="166">
        <v>1043</v>
      </c>
      <c r="E2285" s="166" t="s">
        <v>1104</v>
      </c>
      <c r="F2285" s="166">
        <v>580.41128456734828</v>
      </c>
    </row>
    <row r="2286" spans="1:6">
      <c r="A2286" s="403">
        <v>4155</v>
      </c>
      <c r="B2286" s="403">
        <v>51</v>
      </c>
      <c r="C2286" s="166">
        <v>325</v>
      </c>
      <c r="D2286" s="166">
        <v>1043</v>
      </c>
      <c r="E2286" s="166" t="s">
        <v>1104</v>
      </c>
      <c r="F2286" s="166">
        <v>580.41128456734828</v>
      </c>
    </row>
    <row r="2287" spans="1:6">
      <c r="A2287" s="403">
        <v>4156</v>
      </c>
      <c r="B2287" s="403">
        <v>51</v>
      </c>
      <c r="C2287" s="166">
        <v>325</v>
      </c>
      <c r="D2287" s="166">
        <v>1043</v>
      </c>
      <c r="E2287" s="166" t="s">
        <v>1104</v>
      </c>
      <c r="F2287" s="166">
        <v>580.41128456734828</v>
      </c>
    </row>
    <row r="2288" spans="1:6">
      <c r="A2288" s="403">
        <v>4157</v>
      </c>
      <c r="B2288" s="403">
        <v>51</v>
      </c>
      <c r="C2288" s="166">
        <v>325</v>
      </c>
      <c r="D2288" s="166">
        <v>1043</v>
      </c>
      <c r="E2288" s="166" t="s">
        <v>1104</v>
      </c>
      <c r="F2288" s="166">
        <v>580.41128456734828</v>
      </c>
    </row>
    <row r="2289" spans="1:6">
      <c r="A2289" s="403">
        <v>4158</v>
      </c>
      <c r="B2289" s="403">
        <v>51</v>
      </c>
      <c r="C2289" s="166">
        <v>325</v>
      </c>
      <c r="D2289" s="166">
        <v>1043</v>
      </c>
      <c r="E2289" s="166" t="s">
        <v>1104</v>
      </c>
      <c r="F2289" s="166">
        <v>580.41128456734828</v>
      </c>
    </row>
    <row r="2290" spans="1:6">
      <c r="A2290" s="403">
        <v>4159</v>
      </c>
      <c r="B2290" s="403">
        <v>51</v>
      </c>
      <c r="C2290" s="166">
        <v>325</v>
      </c>
      <c r="D2290" s="166">
        <v>1043</v>
      </c>
      <c r="E2290" s="166" t="s">
        <v>1104</v>
      </c>
      <c r="F2290" s="166">
        <v>580.41128456734828</v>
      </c>
    </row>
    <row r="2291" spans="1:6">
      <c r="A2291" s="403">
        <v>4160</v>
      </c>
      <c r="B2291" s="403">
        <v>51</v>
      </c>
      <c r="C2291" s="166">
        <v>325</v>
      </c>
      <c r="D2291" s="166">
        <v>1043</v>
      </c>
      <c r="E2291" s="166" t="s">
        <v>1104</v>
      </c>
      <c r="F2291" s="166">
        <v>580.41128456734828</v>
      </c>
    </row>
    <row r="2292" spans="1:6">
      <c r="A2292" s="403">
        <v>4161</v>
      </c>
      <c r="B2292" s="403">
        <v>51</v>
      </c>
      <c r="C2292" s="166">
        <v>325</v>
      </c>
      <c r="D2292" s="166">
        <v>1043</v>
      </c>
      <c r="E2292" s="166" t="s">
        <v>1104</v>
      </c>
      <c r="F2292" s="166">
        <v>580.41128456734828</v>
      </c>
    </row>
    <row r="2293" spans="1:6">
      <c r="A2293" s="403">
        <v>4163</v>
      </c>
      <c r="B2293" s="403">
        <v>51</v>
      </c>
      <c r="C2293" s="166">
        <v>325</v>
      </c>
      <c r="D2293" s="166">
        <v>1043</v>
      </c>
      <c r="E2293" s="166" t="s">
        <v>1104</v>
      </c>
      <c r="F2293" s="166">
        <v>580.41128456734828</v>
      </c>
    </row>
    <row r="2294" spans="1:6">
      <c r="A2294" s="403">
        <v>4164</v>
      </c>
      <c r="B2294" s="403">
        <v>51</v>
      </c>
      <c r="C2294" s="166">
        <v>325</v>
      </c>
      <c r="D2294" s="166">
        <v>1043</v>
      </c>
      <c r="E2294" s="166" t="s">
        <v>1104</v>
      </c>
      <c r="F2294" s="166">
        <v>580.41128456734828</v>
      </c>
    </row>
    <row r="2295" spans="1:6">
      <c r="A2295" s="403">
        <v>4165</v>
      </c>
      <c r="B2295" s="403">
        <v>51</v>
      </c>
      <c r="C2295" s="166">
        <v>325</v>
      </c>
      <c r="D2295" s="166">
        <v>1043</v>
      </c>
      <c r="E2295" s="166" t="s">
        <v>1104</v>
      </c>
      <c r="F2295" s="166">
        <v>580.41128456734828</v>
      </c>
    </row>
    <row r="2296" spans="1:6">
      <c r="A2296" s="403">
        <v>4169</v>
      </c>
      <c r="B2296" s="403">
        <v>51</v>
      </c>
      <c r="C2296" s="166">
        <v>325</v>
      </c>
      <c r="D2296" s="166">
        <v>1043</v>
      </c>
      <c r="E2296" s="166" t="s">
        <v>1104</v>
      </c>
      <c r="F2296" s="166">
        <v>580.41128456734828</v>
      </c>
    </row>
    <row r="2297" spans="1:6">
      <c r="A2297" s="403">
        <v>4170</v>
      </c>
      <c r="B2297" s="403">
        <v>51</v>
      </c>
      <c r="C2297" s="166">
        <v>325</v>
      </c>
      <c r="D2297" s="166">
        <v>1043</v>
      </c>
      <c r="E2297" s="166" t="s">
        <v>1104</v>
      </c>
      <c r="F2297" s="166">
        <v>580.41128456734828</v>
      </c>
    </row>
    <row r="2298" spans="1:6">
      <c r="A2298" s="403">
        <v>4171</v>
      </c>
      <c r="B2298" s="403">
        <v>51</v>
      </c>
      <c r="C2298" s="166">
        <v>325</v>
      </c>
      <c r="D2298" s="166">
        <v>1043</v>
      </c>
      <c r="E2298" s="166" t="s">
        <v>1104</v>
      </c>
      <c r="F2298" s="166">
        <v>580.41128456734828</v>
      </c>
    </row>
    <row r="2299" spans="1:6">
      <c r="A2299" s="403">
        <v>4172</v>
      </c>
      <c r="B2299" s="403">
        <v>51</v>
      </c>
      <c r="C2299" s="166">
        <v>325</v>
      </c>
      <c r="D2299" s="166">
        <v>1043</v>
      </c>
      <c r="E2299" s="166" t="s">
        <v>1104</v>
      </c>
      <c r="F2299" s="166">
        <v>580.41128456734828</v>
      </c>
    </row>
    <row r="2300" spans="1:6">
      <c r="A2300" s="403">
        <v>4173</v>
      </c>
      <c r="B2300" s="403">
        <v>51</v>
      </c>
      <c r="C2300" s="166">
        <v>325</v>
      </c>
      <c r="D2300" s="166">
        <v>1043</v>
      </c>
      <c r="E2300" s="166" t="s">
        <v>1104</v>
      </c>
      <c r="F2300" s="166">
        <v>580.41128456734828</v>
      </c>
    </row>
    <row r="2301" spans="1:6">
      <c r="A2301" s="403">
        <v>4174</v>
      </c>
      <c r="B2301" s="403">
        <v>51</v>
      </c>
      <c r="C2301" s="166">
        <v>325</v>
      </c>
      <c r="D2301" s="166">
        <v>1043</v>
      </c>
      <c r="E2301" s="166" t="s">
        <v>1104</v>
      </c>
      <c r="F2301" s="166">
        <v>580.41128456734828</v>
      </c>
    </row>
    <row r="2302" spans="1:6">
      <c r="A2302" s="403">
        <v>4178</v>
      </c>
      <c r="B2302" s="403">
        <v>51</v>
      </c>
      <c r="C2302" s="166">
        <v>325</v>
      </c>
      <c r="D2302" s="166">
        <v>1043</v>
      </c>
      <c r="E2302" s="166" t="s">
        <v>1104</v>
      </c>
      <c r="F2302" s="166">
        <v>580.41128456734828</v>
      </c>
    </row>
    <row r="2303" spans="1:6">
      <c r="A2303" s="403">
        <v>4179</v>
      </c>
      <c r="B2303" s="403">
        <v>51</v>
      </c>
      <c r="C2303" s="166">
        <v>325</v>
      </c>
      <c r="D2303" s="166">
        <v>1043</v>
      </c>
      <c r="E2303" s="166" t="s">
        <v>1104</v>
      </c>
      <c r="F2303" s="166">
        <v>580.41128456734828</v>
      </c>
    </row>
    <row r="2304" spans="1:6">
      <c r="A2304" s="403">
        <v>4183</v>
      </c>
      <c r="B2304" s="403">
        <v>51</v>
      </c>
      <c r="C2304" s="166">
        <v>325</v>
      </c>
      <c r="D2304" s="166">
        <v>1043</v>
      </c>
      <c r="E2304" s="166" t="s">
        <v>1104</v>
      </c>
      <c r="F2304" s="166">
        <v>580.41128456734828</v>
      </c>
    </row>
    <row r="2305" spans="1:6">
      <c r="A2305" s="403">
        <v>4184</v>
      </c>
      <c r="B2305" s="403">
        <v>51</v>
      </c>
      <c r="C2305" s="166">
        <v>325</v>
      </c>
      <c r="D2305" s="166">
        <v>1043</v>
      </c>
      <c r="E2305" s="166" t="s">
        <v>1104</v>
      </c>
      <c r="F2305" s="166">
        <v>580.41128456734828</v>
      </c>
    </row>
    <row r="2306" spans="1:6">
      <c r="A2306" s="403">
        <v>4205</v>
      </c>
      <c r="B2306" s="403">
        <v>51</v>
      </c>
      <c r="C2306" s="166">
        <v>325</v>
      </c>
      <c r="D2306" s="166">
        <v>1043</v>
      </c>
      <c r="E2306" s="166" t="s">
        <v>1104</v>
      </c>
      <c r="F2306" s="166">
        <v>580.41128456734828</v>
      </c>
    </row>
    <row r="2307" spans="1:6">
      <c r="A2307" s="403">
        <v>4207</v>
      </c>
      <c r="B2307" s="403">
        <v>51</v>
      </c>
      <c r="C2307" s="166">
        <v>325</v>
      </c>
      <c r="D2307" s="166">
        <v>1043</v>
      </c>
      <c r="E2307" s="166" t="s">
        <v>1104</v>
      </c>
      <c r="F2307" s="166">
        <v>580.41128456734828</v>
      </c>
    </row>
    <row r="2308" spans="1:6">
      <c r="A2308" s="403">
        <v>4208</v>
      </c>
      <c r="B2308" s="403">
        <v>51</v>
      </c>
      <c r="C2308" s="166">
        <v>325</v>
      </c>
      <c r="D2308" s="166">
        <v>1043</v>
      </c>
      <c r="E2308" s="166" t="s">
        <v>1104</v>
      </c>
      <c r="F2308" s="166">
        <v>580.41128456734828</v>
      </c>
    </row>
    <row r="2309" spans="1:6">
      <c r="A2309" s="403">
        <v>4209</v>
      </c>
      <c r="B2309" s="403">
        <v>51</v>
      </c>
      <c r="C2309" s="166">
        <v>325</v>
      </c>
      <c r="D2309" s="166">
        <v>1043</v>
      </c>
      <c r="E2309" s="166" t="s">
        <v>1104</v>
      </c>
      <c r="F2309" s="166">
        <v>580.41128456734828</v>
      </c>
    </row>
    <row r="2310" spans="1:6">
      <c r="A2310" s="403">
        <v>4210</v>
      </c>
      <c r="B2310" s="403">
        <v>51</v>
      </c>
      <c r="C2310" s="166">
        <v>325</v>
      </c>
      <c r="D2310" s="166">
        <v>1043</v>
      </c>
      <c r="E2310" s="166" t="s">
        <v>1104</v>
      </c>
      <c r="F2310" s="166">
        <v>580.41128456734828</v>
      </c>
    </row>
    <row r="2311" spans="1:6">
      <c r="A2311" s="403">
        <v>4211</v>
      </c>
      <c r="B2311" s="403">
        <v>51</v>
      </c>
      <c r="C2311" s="166">
        <v>325</v>
      </c>
      <c r="D2311" s="166">
        <v>1043</v>
      </c>
      <c r="E2311" s="166" t="s">
        <v>1104</v>
      </c>
      <c r="F2311" s="166">
        <v>580.41128456734828</v>
      </c>
    </row>
    <row r="2312" spans="1:6">
      <c r="A2312" s="403">
        <v>4212</v>
      </c>
      <c r="B2312" s="403">
        <v>51</v>
      </c>
      <c r="C2312" s="166">
        <v>325</v>
      </c>
      <c r="D2312" s="166">
        <v>1043</v>
      </c>
      <c r="E2312" s="166" t="s">
        <v>1104</v>
      </c>
      <c r="F2312" s="166">
        <v>580.41128456734828</v>
      </c>
    </row>
    <row r="2313" spans="1:6">
      <c r="A2313" s="403">
        <v>4213</v>
      </c>
      <c r="B2313" s="403">
        <v>51</v>
      </c>
      <c r="C2313" s="166">
        <v>325</v>
      </c>
      <c r="D2313" s="166">
        <v>1043</v>
      </c>
      <c r="E2313" s="166" t="s">
        <v>1104</v>
      </c>
      <c r="F2313" s="166">
        <v>580.41128456734828</v>
      </c>
    </row>
    <row r="2314" spans="1:6">
      <c r="A2314" s="403">
        <v>4214</v>
      </c>
      <c r="B2314" s="403">
        <v>51</v>
      </c>
      <c r="C2314" s="166">
        <v>325</v>
      </c>
      <c r="D2314" s="166">
        <v>1043</v>
      </c>
      <c r="E2314" s="166" t="s">
        <v>1104</v>
      </c>
      <c r="F2314" s="166">
        <v>580.41128456734828</v>
      </c>
    </row>
    <row r="2315" spans="1:6">
      <c r="A2315" s="403">
        <v>4215</v>
      </c>
      <c r="B2315" s="403">
        <v>51</v>
      </c>
      <c r="C2315" s="166">
        <v>325</v>
      </c>
      <c r="D2315" s="166">
        <v>1043</v>
      </c>
      <c r="E2315" s="166" t="s">
        <v>1104</v>
      </c>
      <c r="F2315" s="166">
        <v>580.41128456734828</v>
      </c>
    </row>
    <row r="2316" spans="1:6">
      <c r="A2316" s="403">
        <v>4216</v>
      </c>
      <c r="B2316" s="403">
        <v>51</v>
      </c>
      <c r="C2316" s="166">
        <v>325</v>
      </c>
      <c r="D2316" s="166">
        <v>1043</v>
      </c>
      <c r="E2316" s="166" t="s">
        <v>1104</v>
      </c>
      <c r="F2316" s="166">
        <v>580.41128456734828</v>
      </c>
    </row>
    <row r="2317" spans="1:6">
      <c r="A2317" s="403">
        <v>4217</v>
      </c>
      <c r="B2317" s="403">
        <v>51</v>
      </c>
      <c r="C2317" s="166">
        <v>325</v>
      </c>
      <c r="D2317" s="166">
        <v>1043</v>
      </c>
      <c r="E2317" s="166" t="s">
        <v>1104</v>
      </c>
      <c r="F2317" s="166">
        <v>580.41128456734828</v>
      </c>
    </row>
    <row r="2318" spans="1:6">
      <c r="A2318" s="403">
        <v>4218</v>
      </c>
      <c r="B2318" s="403">
        <v>51</v>
      </c>
      <c r="C2318" s="166">
        <v>325</v>
      </c>
      <c r="D2318" s="166">
        <v>1043</v>
      </c>
      <c r="E2318" s="166" t="s">
        <v>1104</v>
      </c>
      <c r="F2318" s="166">
        <v>580.41128456734828</v>
      </c>
    </row>
    <row r="2319" spans="1:6">
      <c r="A2319" s="403">
        <v>4219</v>
      </c>
      <c r="B2319" s="403">
        <v>51</v>
      </c>
      <c r="C2319" s="166">
        <v>325</v>
      </c>
      <c r="D2319" s="166">
        <v>1043</v>
      </c>
      <c r="E2319" s="166" t="s">
        <v>1104</v>
      </c>
      <c r="F2319" s="166">
        <v>580.41128456734828</v>
      </c>
    </row>
    <row r="2320" spans="1:6">
      <c r="A2320" s="403">
        <v>4220</v>
      </c>
      <c r="B2320" s="403">
        <v>51</v>
      </c>
      <c r="C2320" s="166">
        <v>325</v>
      </c>
      <c r="D2320" s="166">
        <v>1043</v>
      </c>
      <c r="E2320" s="166" t="s">
        <v>1104</v>
      </c>
      <c r="F2320" s="166">
        <v>580.41128456734828</v>
      </c>
    </row>
    <row r="2321" spans="1:6">
      <c r="A2321" s="403">
        <v>4221</v>
      </c>
      <c r="B2321" s="403">
        <v>51</v>
      </c>
      <c r="C2321" s="166">
        <v>325</v>
      </c>
      <c r="D2321" s="166">
        <v>1043</v>
      </c>
      <c r="E2321" s="166" t="s">
        <v>1104</v>
      </c>
      <c r="F2321" s="166">
        <v>580.41128456734828</v>
      </c>
    </row>
    <row r="2322" spans="1:6">
      <c r="A2322" s="403">
        <v>4223</v>
      </c>
      <c r="B2322" s="403">
        <v>51</v>
      </c>
      <c r="C2322" s="166">
        <v>325</v>
      </c>
      <c r="D2322" s="166">
        <v>1043</v>
      </c>
      <c r="E2322" s="166" t="s">
        <v>1104</v>
      </c>
      <c r="F2322" s="166">
        <v>580.41128456734828</v>
      </c>
    </row>
    <row r="2323" spans="1:6">
      <c r="A2323" s="403">
        <v>4224</v>
      </c>
      <c r="B2323" s="403">
        <v>51</v>
      </c>
      <c r="C2323" s="166">
        <v>325</v>
      </c>
      <c r="D2323" s="166">
        <v>1043</v>
      </c>
      <c r="E2323" s="166" t="s">
        <v>1104</v>
      </c>
      <c r="F2323" s="166">
        <v>580.41128456734828</v>
      </c>
    </row>
    <row r="2324" spans="1:6">
      <c r="A2324" s="403">
        <v>4225</v>
      </c>
      <c r="B2324" s="403">
        <v>51</v>
      </c>
      <c r="C2324" s="166">
        <v>325</v>
      </c>
      <c r="D2324" s="166">
        <v>1043</v>
      </c>
      <c r="E2324" s="166" t="s">
        <v>1104</v>
      </c>
      <c r="F2324" s="166">
        <v>580.41128456734828</v>
      </c>
    </row>
    <row r="2325" spans="1:6">
      <c r="A2325" s="403">
        <v>4226</v>
      </c>
      <c r="B2325" s="403">
        <v>51</v>
      </c>
      <c r="C2325" s="166">
        <v>325</v>
      </c>
      <c r="D2325" s="166">
        <v>1043</v>
      </c>
      <c r="E2325" s="166" t="s">
        <v>1104</v>
      </c>
      <c r="F2325" s="166">
        <v>580.41128456734828</v>
      </c>
    </row>
    <row r="2326" spans="1:6">
      <c r="A2326" s="403">
        <v>4227</v>
      </c>
      <c r="B2326" s="403">
        <v>51</v>
      </c>
      <c r="C2326" s="166">
        <v>325</v>
      </c>
      <c r="D2326" s="166">
        <v>1043</v>
      </c>
      <c r="E2326" s="166" t="s">
        <v>1104</v>
      </c>
      <c r="F2326" s="166">
        <v>580.41128456734828</v>
      </c>
    </row>
    <row r="2327" spans="1:6">
      <c r="A2327" s="403">
        <v>4228</v>
      </c>
      <c r="B2327" s="403">
        <v>51</v>
      </c>
      <c r="C2327" s="166">
        <v>325</v>
      </c>
      <c r="D2327" s="166">
        <v>1043</v>
      </c>
      <c r="E2327" s="166" t="s">
        <v>1104</v>
      </c>
      <c r="F2327" s="166">
        <v>580.41128456734828</v>
      </c>
    </row>
    <row r="2328" spans="1:6">
      <c r="A2328" s="403">
        <v>4229</v>
      </c>
      <c r="B2328" s="403">
        <v>51</v>
      </c>
      <c r="C2328" s="166">
        <v>325</v>
      </c>
      <c r="D2328" s="166">
        <v>1043</v>
      </c>
      <c r="E2328" s="166" t="s">
        <v>1104</v>
      </c>
      <c r="F2328" s="166">
        <v>580.41128456734828</v>
      </c>
    </row>
    <row r="2329" spans="1:6">
      <c r="A2329" s="403">
        <v>4230</v>
      </c>
      <c r="B2329" s="403">
        <v>51</v>
      </c>
      <c r="C2329" s="166">
        <v>325</v>
      </c>
      <c r="D2329" s="166">
        <v>1043</v>
      </c>
      <c r="E2329" s="166" t="s">
        <v>1104</v>
      </c>
      <c r="F2329" s="166">
        <v>580.41128456734828</v>
      </c>
    </row>
    <row r="2330" spans="1:6">
      <c r="A2330" s="403">
        <v>4270</v>
      </c>
      <c r="B2330" s="403">
        <v>51</v>
      </c>
      <c r="C2330" s="166">
        <v>325</v>
      </c>
      <c r="D2330" s="166">
        <v>1043</v>
      </c>
      <c r="E2330" s="166" t="s">
        <v>1104</v>
      </c>
      <c r="F2330" s="166">
        <v>580.41128456734828</v>
      </c>
    </row>
    <row r="2331" spans="1:6">
      <c r="A2331" s="403">
        <v>4271</v>
      </c>
      <c r="B2331" s="403">
        <v>51</v>
      </c>
      <c r="C2331" s="166">
        <v>325</v>
      </c>
      <c r="D2331" s="166">
        <v>1043</v>
      </c>
      <c r="E2331" s="166" t="s">
        <v>1104</v>
      </c>
      <c r="F2331" s="166">
        <v>580.41128456734828</v>
      </c>
    </row>
    <row r="2332" spans="1:6">
      <c r="A2332" s="403">
        <v>4272</v>
      </c>
      <c r="B2332" s="403">
        <v>51</v>
      </c>
      <c r="C2332" s="166">
        <v>325</v>
      </c>
      <c r="D2332" s="166">
        <v>1043</v>
      </c>
      <c r="E2332" s="166" t="s">
        <v>1104</v>
      </c>
      <c r="F2332" s="166">
        <v>580.41128456734828</v>
      </c>
    </row>
    <row r="2333" spans="1:6">
      <c r="A2333" s="403">
        <v>4275</v>
      </c>
      <c r="B2333" s="403">
        <v>51</v>
      </c>
      <c r="C2333" s="166">
        <v>325</v>
      </c>
      <c r="D2333" s="166">
        <v>1043</v>
      </c>
      <c r="E2333" s="166" t="s">
        <v>1104</v>
      </c>
      <c r="F2333" s="166">
        <v>580.41128456734828</v>
      </c>
    </row>
    <row r="2334" spans="1:6">
      <c r="A2334" s="403">
        <v>4280</v>
      </c>
      <c r="B2334" s="403">
        <v>51</v>
      </c>
      <c r="C2334" s="166">
        <v>325</v>
      </c>
      <c r="D2334" s="166">
        <v>1043</v>
      </c>
      <c r="E2334" s="166" t="s">
        <v>1104</v>
      </c>
      <c r="F2334" s="166">
        <v>580.41128456734828</v>
      </c>
    </row>
    <row r="2335" spans="1:6">
      <c r="A2335" s="403">
        <v>4285</v>
      </c>
      <c r="B2335" s="403">
        <v>51</v>
      </c>
      <c r="C2335" s="166">
        <v>325</v>
      </c>
      <c r="D2335" s="166">
        <v>1043</v>
      </c>
      <c r="E2335" s="166" t="s">
        <v>1104</v>
      </c>
      <c r="F2335" s="166">
        <v>580.41128456734828</v>
      </c>
    </row>
    <row r="2336" spans="1:6">
      <c r="A2336" s="403">
        <v>4287</v>
      </c>
      <c r="B2336" s="403">
        <v>51</v>
      </c>
      <c r="C2336" s="166">
        <v>325</v>
      </c>
      <c r="D2336" s="166">
        <v>1043</v>
      </c>
      <c r="E2336" s="166" t="s">
        <v>1104</v>
      </c>
      <c r="F2336" s="166">
        <v>580.41128456734828</v>
      </c>
    </row>
    <row r="2337" spans="1:6">
      <c r="A2337" s="403">
        <v>4300</v>
      </c>
      <c r="B2337" s="403">
        <v>51</v>
      </c>
      <c r="C2337" s="166">
        <v>325</v>
      </c>
      <c r="D2337" s="166">
        <v>1043</v>
      </c>
      <c r="E2337" s="166" t="s">
        <v>1104</v>
      </c>
      <c r="F2337" s="166">
        <v>580.41128456734828</v>
      </c>
    </row>
    <row r="2338" spans="1:6">
      <c r="A2338" s="403">
        <v>4301</v>
      </c>
      <c r="B2338" s="403">
        <v>51</v>
      </c>
      <c r="C2338" s="166">
        <v>325</v>
      </c>
      <c r="D2338" s="166">
        <v>1043</v>
      </c>
      <c r="E2338" s="166" t="s">
        <v>1104</v>
      </c>
      <c r="F2338" s="166">
        <v>580.41128456734828</v>
      </c>
    </row>
    <row r="2339" spans="1:6">
      <c r="A2339" s="403">
        <v>4303</v>
      </c>
      <c r="B2339" s="403">
        <v>51</v>
      </c>
      <c r="C2339" s="166">
        <v>325</v>
      </c>
      <c r="D2339" s="166">
        <v>1043</v>
      </c>
      <c r="E2339" s="166" t="s">
        <v>1104</v>
      </c>
      <c r="F2339" s="166">
        <v>580.41128456734828</v>
      </c>
    </row>
    <row r="2340" spans="1:6">
      <c r="A2340" s="403">
        <v>4304</v>
      </c>
      <c r="B2340" s="403">
        <v>51</v>
      </c>
      <c r="C2340" s="166">
        <v>325</v>
      </c>
      <c r="D2340" s="166">
        <v>1043</v>
      </c>
      <c r="E2340" s="166" t="s">
        <v>1104</v>
      </c>
      <c r="F2340" s="166">
        <v>580.41128456734828</v>
      </c>
    </row>
    <row r="2341" spans="1:6">
      <c r="A2341" s="403">
        <v>4305</v>
      </c>
      <c r="B2341" s="403">
        <v>51</v>
      </c>
      <c r="C2341" s="166">
        <v>325</v>
      </c>
      <c r="D2341" s="166">
        <v>1043</v>
      </c>
      <c r="E2341" s="166" t="s">
        <v>1104</v>
      </c>
      <c r="F2341" s="166">
        <v>580.41128456734828</v>
      </c>
    </row>
    <row r="2342" spans="1:6">
      <c r="A2342" s="403">
        <v>4306</v>
      </c>
      <c r="B2342" s="403">
        <v>51</v>
      </c>
      <c r="C2342" s="166">
        <v>325</v>
      </c>
      <c r="D2342" s="166">
        <v>1043</v>
      </c>
      <c r="E2342" s="166" t="s">
        <v>1104</v>
      </c>
      <c r="F2342" s="166">
        <v>580.41128456734828</v>
      </c>
    </row>
    <row r="2343" spans="1:6">
      <c r="A2343" s="403">
        <v>4307</v>
      </c>
      <c r="B2343" s="403">
        <v>51</v>
      </c>
      <c r="C2343" s="166">
        <v>325</v>
      </c>
      <c r="D2343" s="166">
        <v>1043</v>
      </c>
      <c r="E2343" s="166" t="s">
        <v>1104</v>
      </c>
      <c r="F2343" s="166">
        <v>580.41128456734828</v>
      </c>
    </row>
    <row r="2344" spans="1:6">
      <c r="A2344" s="403">
        <v>4309</v>
      </c>
      <c r="B2344" s="403">
        <v>51</v>
      </c>
      <c r="C2344" s="166">
        <v>325</v>
      </c>
      <c r="D2344" s="166">
        <v>1043</v>
      </c>
      <c r="E2344" s="166" t="s">
        <v>1104</v>
      </c>
      <c r="F2344" s="166">
        <v>580.41128456734828</v>
      </c>
    </row>
    <row r="2345" spans="1:6">
      <c r="A2345" s="403">
        <v>4310</v>
      </c>
      <c r="B2345" s="403">
        <v>51</v>
      </c>
      <c r="C2345" s="166">
        <v>325</v>
      </c>
      <c r="D2345" s="166">
        <v>1043</v>
      </c>
      <c r="E2345" s="166" t="s">
        <v>1104</v>
      </c>
      <c r="F2345" s="166">
        <v>580.41128456734828</v>
      </c>
    </row>
    <row r="2346" spans="1:6">
      <c r="A2346" s="403">
        <v>4311</v>
      </c>
      <c r="B2346" s="403">
        <v>51</v>
      </c>
      <c r="C2346" s="166">
        <v>325</v>
      </c>
      <c r="D2346" s="166">
        <v>1043</v>
      </c>
      <c r="E2346" s="166" t="s">
        <v>1104</v>
      </c>
      <c r="F2346" s="166">
        <v>580.41128456734828</v>
      </c>
    </row>
    <row r="2347" spans="1:6">
      <c r="A2347" s="403">
        <v>4312</v>
      </c>
      <c r="B2347" s="403">
        <v>51</v>
      </c>
      <c r="C2347" s="166">
        <v>325</v>
      </c>
      <c r="D2347" s="166">
        <v>1043</v>
      </c>
      <c r="E2347" s="166" t="s">
        <v>1104</v>
      </c>
      <c r="F2347" s="166">
        <v>580.41128456734828</v>
      </c>
    </row>
    <row r="2348" spans="1:6">
      <c r="A2348" s="403">
        <v>4313</v>
      </c>
      <c r="B2348" s="403">
        <v>51</v>
      </c>
      <c r="C2348" s="166">
        <v>325</v>
      </c>
      <c r="D2348" s="166">
        <v>1043</v>
      </c>
      <c r="E2348" s="166" t="s">
        <v>1104</v>
      </c>
      <c r="F2348" s="166">
        <v>580.41128456734828</v>
      </c>
    </row>
    <row r="2349" spans="1:6">
      <c r="A2349" s="403">
        <v>4340</v>
      </c>
      <c r="B2349" s="403">
        <v>51</v>
      </c>
      <c r="C2349" s="166">
        <v>325</v>
      </c>
      <c r="D2349" s="166">
        <v>1043</v>
      </c>
      <c r="E2349" s="166" t="s">
        <v>1104</v>
      </c>
      <c r="F2349" s="166">
        <v>580.41128456734828</v>
      </c>
    </row>
    <row r="2350" spans="1:6">
      <c r="A2350" s="403">
        <v>4341</v>
      </c>
      <c r="B2350" s="403">
        <v>51</v>
      </c>
      <c r="C2350" s="166">
        <v>325</v>
      </c>
      <c r="D2350" s="166">
        <v>1043</v>
      </c>
      <c r="E2350" s="166" t="s">
        <v>1104</v>
      </c>
      <c r="F2350" s="166">
        <v>580.41128456734828</v>
      </c>
    </row>
    <row r="2351" spans="1:6">
      <c r="A2351" s="403">
        <v>4342</v>
      </c>
      <c r="B2351" s="403">
        <v>51</v>
      </c>
      <c r="C2351" s="166">
        <v>325</v>
      </c>
      <c r="D2351" s="166">
        <v>1043</v>
      </c>
      <c r="E2351" s="166" t="s">
        <v>1104</v>
      </c>
      <c r="F2351" s="166">
        <v>580.41128456734828</v>
      </c>
    </row>
    <row r="2352" spans="1:6">
      <c r="A2352" s="403">
        <v>4343</v>
      </c>
      <c r="B2352" s="403">
        <v>51</v>
      </c>
      <c r="C2352" s="166">
        <v>325</v>
      </c>
      <c r="D2352" s="166">
        <v>1043</v>
      </c>
      <c r="E2352" s="166" t="s">
        <v>1104</v>
      </c>
      <c r="F2352" s="166">
        <v>580.41128456734828</v>
      </c>
    </row>
    <row r="2353" spans="1:6">
      <c r="A2353" s="403">
        <v>4344</v>
      </c>
      <c r="B2353" s="403">
        <v>51</v>
      </c>
      <c r="C2353" s="166">
        <v>325</v>
      </c>
      <c r="D2353" s="166">
        <v>1043</v>
      </c>
      <c r="E2353" s="166" t="s">
        <v>1104</v>
      </c>
      <c r="F2353" s="166">
        <v>580.41128456734828</v>
      </c>
    </row>
    <row r="2354" spans="1:6">
      <c r="A2354" s="403">
        <v>4345</v>
      </c>
      <c r="B2354" s="403">
        <v>51</v>
      </c>
      <c r="C2354" s="166">
        <v>325</v>
      </c>
      <c r="D2354" s="166">
        <v>1043</v>
      </c>
      <c r="E2354" s="166" t="s">
        <v>1104</v>
      </c>
      <c r="F2354" s="166">
        <v>580.41128456734828</v>
      </c>
    </row>
    <row r="2355" spans="1:6">
      <c r="A2355" s="403">
        <v>4346</v>
      </c>
      <c r="B2355" s="403">
        <v>51</v>
      </c>
      <c r="C2355" s="166">
        <v>325</v>
      </c>
      <c r="D2355" s="166">
        <v>1043</v>
      </c>
      <c r="E2355" s="166" t="s">
        <v>1104</v>
      </c>
      <c r="F2355" s="166">
        <v>580.41128456734828</v>
      </c>
    </row>
    <row r="2356" spans="1:6">
      <c r="A2356" s="403">
        <v>4347</v>
      </c>
      <c r="B2356" s="403">
        <v>51</v>
      </c>
      <c r="C2356" s="166">
        <v>325</v>
      </c>
      <c r="D2356" s="166">
        <v>1043</v>
      </c>
      <c r="E2356" s="166" t="s">
        <v>1104</v>
      </c>
      <c r="F2356" s="166">
        <v>580.41128456734828</v>
      </c>
    </row>
    <row r="2357" spans="1:6">
      <c r="A2357" s="403">
        <v>4350</v>
      </c>
      <c r="B2357" s="403">
        <v>49</v>
      </c>
      <c r="C2357" s="166">
        <v>660</v>
      </c>
      <c r="D2357" s="166">
        <v>876</v>
      </c>
      <c r="E2357" s="166" t="s">
        <v>1104</v>
      </c>
      <c r="F2357" s="166">
        <v>682.12607655502609</v>
      </c>
    </row>
    <row r="2358" spans="1:6">
      <c r="A2358" s="403">
        <v>4352</v>
      </c>
      <c r="B2358" s="403">
        <v>49</v>
      </c>
      <c r="C2358" s="166">
        <v>660</v>
      </c>
      <c r="D2358" s="166">
        <v>876</v>
      </c>
      <c r="E2358" s="166" t="s">
        <v>1104</v>
      </c>
      <c r="F2358" s="166">
        <v>682.12607655502609</v>
      </c>
    </row>
    <row r="2359" spans="1:6">
      <c r="A2359" s="403">
        <v>4354</v>
      </c>
      <c r="B2359" s="403">
        <v>49</v>
      </c>
      <c r="C2359" s="166">
        <v>660</v>
      </c>
      <c r="D2359" s="166">
        <v>876</v>
      </c>
      <c r="E2359" s="166" t="s">
        <v>1104</v>
      </c>
      <c r="F2359" s="166">
        <v>682.12607655502609</v>
      </c>
    </row>
    <row r="2360" spans="1:6">
      <c r="A2360" s="403">
        <v>4355</v>
      </c>
      <c r="B2360" s="403">
        <v>49</v>
      </c>
      <c r="C2360" s="166">
        <v>660</v>
      </c>
      <c r="D2360" s="166">
        <v>876</v>
      </c>
      <c r="E2360" s="166" t="s">
        <v>1104</v>
      </c>
      <c r="F2360" s="166">
        <v>682.12607655502609</v>
      </c>
    </row>
    <row r="2361" spans="1:6">
      <c r="A2361" s="403">
        <v>4356</v>
      </c>
      <c r="B2361" s="403">
        <v>49</v>
      </c>
      <c r="C2361" s="166">
        <v>660</v>
      </c>
      <c r="D2361" s="166">
        <v>876</v>
      </c>
      <c r="E2361" s="166" t="s">
        <v>1104</v>
      </c>
      <c r="F2361" s="166">
        <v>682.12607655502609</v>
      </c>
    </row>
    <row r="2362" spans="1:6">
      <c r="A2362" s="403">
        <v>4357</v>
      </c>
      <c r="B2362" s="403">
        <v>49</v>
      </c>
      <c r="C2362" s="166">
        <v>660</v>
      </c>
      <c r="D2362" s="166">
        <v>876</v>
      </c>
      <c r="E2362" s="166" t="s">
        <v>1104</v>
      </c>
      <c r="F2362" s="166">
        <v>682.12607655502609</v>
      </c>
    </row>
    <row r="2363" spans="1:6">
      <c r="A2363" s="403">
        <v>4358</v>
      </c>
      <c r="B2363" s="403">
        <v>49</v>
      </c>
      <c r="C2363" s="166">
        <v>660</v>
      </c>
      <c r="D2363" s="166">
        <v>876</v>
      </c>
      <c r="E2363" s="166" t="s">
        <v>1104</v>
      </c>
      <c r="F2363" s="166">
        <v>682.12607655502609</v>
      </c>
    </row>
    <row r="2364" spans="1:6">
      <c r="A2364" s="403">
        <v>4359</v>
      </c>
      <c r="B2364" s="403">
        <v>49</v>
      </c>
      <c r="C2364" s="166">
        <v>660</v>
      </c>
      <c r="D2364" s="166">
        <v>876</v>
      </c>
      <c r="E2364" s="166" t="s">
        <v>1104</v>
      </c>
      <c r="F2364" s="166">
        <v>682.12607655502609</v>
      </c>
    </row>
    <row r="2365" spans="1:6">
      <c r="A2365" s="403">
        <v>4360</v>
      </c>
      <c r="B2365" s="403">
        <v>49</v>
      </c>
      <c r="C2365" s="166">
        <v>660</v>
      </c>
      <c r="D2365" s="166">
        <v>876</v>
      </c>
      <c r="E2365" s="166" t="s">
        <v>1104</v>
      </c>
      <c r="F2365" s="166">
        <v>682.12607655502609</v>
      </c>
    </row>
    <row r="2366" spans="1:6">
      <c r="A2366" s="403">
        <v>4361</v>
      </c>
      <c r="B2366" s="403">
        <v>49</v>
      </c>
      <c r="C2366" s="166">
        <v>660</v>
      </c>
      <c r="D2366" s="166">
        <v>876</v>
      </c>
      <c r="E2366" s="166" t="s">
        <v>1104</v>
      </c>
      <c r="F2366" s="166">
        <v>682.12607655502609</v>
      </c>
    </row>
    <row r="2367" spans="1:6">
      <c r="A2367" s="403">
        <v>4362</v>
      </c>
      <c r="B2367" s="403">
        <v>49</v>
      </c>
      <c r="C2367" s="166">
        <v>660</v>
      </c>
      <c r="D2367" s="166">
        <v>876</v>
      </c>
      <c r="E2367" s="166" t="s">
        <v>1104</v>
      </c>
      <c r="F2367" s="166">
        <v>682.12607655502609</v>
      </c>
    </row>
    <row r="2368" spans="1:6">
      <c r="A2368" s="403">
        <v>4370</v>
      </c>
      <c r="B2368" s="403">
        <v>49</v>
      </c>
      <c r="C2368" s="166">
        <v>660</v>
      </c>
      <c r="D2368" s="166">
        <v>876</v>
      </c>
      <c r="E2368" s="166" t="s">
        <v>1104</v>
      </c>
      <c r="F2368" s="166">
        <v>682.12607655502609</v>
      </c>
    </row>
    <row r="2369" spans="1:6">
      <c r="A2369" s="403">
        <v>4371</v>
      </c>
      <c r="B2369" s="403">
        <v>49</v>
      </c>
      <c r="C2369" s="166">
        <v>660</v>
      </c>
      <c r="D2369" s="166">
        <v>876</v>
      </c>
      <c r="E2369" s="166" t="s">
        <v>1104</v>
      </c>
      <c r="F2369" s="166">
        <v>682.12607655502609</v>
      </c>
    </row>
    <row r="2370" spans="1:6">
      <c r="A2370" s="403">
        <v>4372</v>
      </c>
      <c r="B2370" s="403">
        <v>49</v>
      </c>
      <c r="C2370" s="166">
        <v>660</v>
      </c>
      <c r="D2370" s="166">
        <v>876</v>
      </c>
      <c r="E2370" s="166" t="s">
        <v>1104</v>
      </c>
      <c r="F2370" s="166">
        <v>682.12607655502609</v>
      </c>
    </row>
    <row r="2371" spans="1:6">
      <c r="A2371" s="403">
        <v>4373</v>
      </c>
      <c r="B2371" s="403">
        <v>49</v>
      </c>
      <c r="C2371" s="166">
        <v>660</v>
      </c>
      <c r="D2371" s="166">
        <v>876</v>
      </c>
      <c r="E2371" s="166" t="s">
        <v>1104</v>
      </c>
      <c r="F2371" s="166">
        <v>682.12607655502609</v>
      </c>
    </row>
    <row r="2372" spans="1:6">
      <c r="A2372" s="403">
        <v>4374</v>
      </c>
      <c r="B2372" s="403">
        <v>49</v>
      </c>
      <c r="C2372" s="166">
        <v>660</v>
      </c>
      <c r="D2372" s="166">
        <v>876</v>
      </c>
      <c r="E2372" s="166" t="s">
        <v>1104</v>
      </c>
      <c r="F2372" s="166">
        <v>682.12607655502609</v>
      </c>
    </row>
    <row r="2373" spans="1:6">
      <c r="A2373" s="403">
        <v>4375</v>
      </c>
      <c r="B2373" s="403">
        <v>49</v>
      </c>
      <c r="C2373" s="166">
        <v>660</v>
      </c>
      <c r="D2373" s="166">
        <v>876</v>
      </c>
      <c r="E2373" s="166" t="s">
        <v>1104</v>
      </c>
      <c r="F2373" s="166">
        <v>682.12607655502609</v>
      </c>
    </row>
    <row r="2374" spans="1:6">
      <c r="A2374" s="403">
        <v>4376</v>
      </c>
      <c r="B2374" s="403">
        <v>49</v>
      </c>
      <c r="C2374" s="166">
        <v>660</v>
      </c>
      <c r="D2374" s="166">
        <v>876</v>
      </c>
      <c r="E2374" s="166" t="s">
        <v>1104</v>
      </c>
      <c r="F2374" s="166">
        <v>682.12607655502609</v>
      </c>
    </row>
    <row r="2375" spans="1:6">
      <c r="A2375" s="403">
        <v>4377</v>
      </c>
      <c r="B2375" s="403">
        <v>49</v>
      </c>
      <c r="C2375" s="166">
        <v>660</v>
      </c>
      <c r="D2375" s="166">
        <v>876</v>
      </c>
      <c r="E2375" s="166" t="s">
        <v>1104</v>
      </c>
      <c r="F2375" s="166">
        <v>682.12607655502609</v>
      </c>
    </row>
    <row r="2376" spans="1:6">
      <c r="A2376" s="403">
        <v>4378</v>
      </c>
      <c r="B2376" s="403">
        <v>49</v>
      </c>
      <c r="C2376" s="166">
        <v>660</v>
      </c>
      <c r="D2376" s="166">
        <v>876</v>
      </c>
      <c r="E2376" s="166" t="s">
        <v>1104</v>
      </c>
      <c r="F2376" s="166">
        <v>682.12607655502609</v>
      </c>
    </row>
    <row r="2377" spans="1:6">
      <c r="A2377" s="403">
        <v>4380</v>
      </c>
      <c r="B2377" s="403">
        <v>49</v>
      </c>
      <c r="C2377" s="166">
        <v>660</v>
      </c>
      <c r="D2377" s="166">
        <v>876</v>
      </c>
      <c r="E2377" s="166" t="s">
        <v>1104</v>
      </c>
      <c r="F2377" s="166">
        <v>682.12607655502609</v>
      </c>
    </row>
    <row r="2378" spans="1:6">
      <c r="A2378" s="403">
        <v>4381</v>
      </c>
      <c r="B2378" s="403">
        <v>49</v>
      </c>
      <c r="C2378" s="166">
        <v>660</v>
      </c>
      <c r="D2378" s="166">
        <v>876</v>
      </c>
      <c r="E2378" s="166" t="s">
        <v>1104</v>
      </c>
      <c r="F2378" s="166">
        <v>682.12607655502609</v>
      </c>
    </row>
    <row r="2379" spans="1:6">
      <c r="A2379" s="403">
        <v>4382</v>
      </c>
      <c r="B2379" s="403">
        <v>49</v>
      </c>
      <c r="C2379" s="166">
        <v>660</v>
      </c>
      <c r="D2379" s="166">
        <v>876</v>
      </c>
      <c r="E2379" s="166" t="s">
        <v>1104</v>
      </c>
      <c r="F2379" s="166">
        <v>682.12607655502609</v>
      </c>
    </row>
    <row r="2380" spans="1:6">
      <c r="A2380" s="403">
        <v>4383</v>
      </c>
      <c r="B2380" s="403">
        <v>49</v>
      </c>
      <c r="C2380" s="166">
        <v>660</v>
      </c>
      <c r="D2380" s="166">
        <v>876</v>
      </c>
      <c r="E2380" s="166" t="s">
        <v>1104</v>
      </c>
      <c r="F2380" s="166">
        <v>682.12607655502609</v>
      </c>
    </row>
    <row r="2381" spans="1:6">
      <c r="A2381" s="403">
        <v>4384</v>
      </c>
      <c r="B2381" s="403">
        <v>49</v>
      </c>
      <c r="C2381" s="166">
        <v>660</v>
      </c>
      <c r="D2381" s="166">
        <v>876</v>
      </c>
      <c r="E2381" s="166" t="s">
        <v>1104</v>
      </c>
      <c r="F2381" s="166">
        <v>682.12607655502609</v>
      </c>
    </row>
    <row r="2382" spans="1:6">
      <c r="A2382" s="403">
        <v>4385</v>
      </c>
      <c r="B2382" s="403">
        <v>49</v>
      </c>
      <c r="C2382" s="166">
        <v>660</v>
      </c>
      <c r="D2382" s="166">
        <v>876</v>
      </c>
      <c r="E2382" s="166" t="s">
        <v>1104</v>
      </c>
      <c r="F2382" s="166">
        <v>682.12607655502609</v>
      </c>
    </row>
    <row r="2383" spans="1:6">
      <c r="A2383" s="403">
        <v>4387</v>
      </c>
      <c r="B2383" s="403">
        <v>49</v>
      </c>
      <c r="C2383" s="166">
        <v>660</v>
      </c>
      <c r="D2383" s="166">
        <v>876</v>
      </c>
      <c r="E2383" s="166" t="s">
        <v>1104</v>
      </c>
      <c r="F2383" s="166">
        <v>682.12607655502609</v>
      </c>
    </row>
    <row r="2384" spans="1:6">
      <c r="A2384" s="403">
        <v>4388</v>
      </c>
      <c r="B2384" s="403">
        <v>49</v>
      </c>
      <c r="C2384" s="166">
        <v>660</v>
      </c>
      <c r="D2384" s="166">
        <v>876</v>
      </c>
      <c r="E2384" s="166" t="s">
        <v>1104</v>
      </c>
      <c r="F2384" s="166">
        <v>682.12607655502609</v>
      </c>
    </row>
    <row r="2385" spans="1:6">
      <c r="A2385" s="403">
        <v>4390</v>
      </c>
      <c r="B2385" s="403">
        <v>49</v>
      </c>
      <c r="C2385" s="166">
        <v>660</v>
      </c>
      <c r="D2385" s="166">
        <v>876</v>
      </c>
      <c r="E2385" s="166" t="s">
        <v>1104</v>
      </c>
      <c r="F2385" s="166">
        <v>682.12607655502609</v>
      </c>
    </row>
    <row r="2386" spans="1:6">
      <c r="A2386" s="403">
        <v>4400</v>
      </c>
      <c r="B2386" s="403">
        <v>49</v>
      </c>
      <c r="C2386" s="166">
        <v>660</v>
      </c>
      <c r="D2386" s="166">
        <v>876</v>
      </c>
      <c r="E2386" s="166" t="s">
        <v>1104</v>
      </c>
      <c r="F2386" s="166">
        <v>682.12607655502609</v>
      </c>
    </row>
    <row r="2387" spans="1:6">
      <c r="A2387" s="403">
        <v>4401</v>
      </c>
      <c r="B2387" s="403">
        <v>49</v>
      </c>
      <c r="C2387" s="166">
        <v>660</v>
      </c>
      <c r="D2387" s="166">
        <v>876</v>
      </c>
      <c r="E2387" s="166" t="s">
        <v>1104</v>
      </c>
      <c r="F2387" s="166">
        <v>682.12607655502609</v>
      </c>
    </row>
    <row r="2388" spans="1:6">
      <c r="A2388" s="403">
        <v>4402</v>
      </c>
      <c r="B2388" s="403">
        <v>49</v>
      </c>
      <c r="C2388" s="166">
        <v>660</v>
      </c>
      <c r="D2388" s="166">
        <v>876</v>
      </c>
      <c r="E2388" s="166" t="s">
        <v>1104</v>
      </c>
      <c r="F2388" s="166">
        <v>682.12607655502609</v>
      </c>
    </row>
    <row r="2389" spans="1:6">
      <c r="A2389" s="403">
        <v>4403</v>
      </c>
      <c r="B2389" s="403">
        <v>49</v>
      </c>
      <c r="C2389" s="166">
        <v>660</v>
      </c>
      <c r="D2389" s="166">
        <v>876</v>
      </c>
      <c r="E2389" s="166" t="s">
        <v>1104</v>
      </c>
      <c r="F2389" s="166">
        <v>682.12607655502609</v>
      </c>
    </row>
    <row r="2390" spans="1:6">
      <c r="A2390" s="403">
        <v>4404</v>
      </c>
      <c r="B2390" s="403">
        <v>49</v>
      </c>
      <c r="C2390" s="166">
        <v>660</v>
      </c>
      <c r="D2390" s="166">
        <v>876</v>
      </c>
      <c r="E2390" s="166" t="s">
        <v>1104</v>
      </c>
      <c r="F2390" s="166">
        <v>682.12607655502609</v>
      </c>
    </row>
    <row r="2391" spans="1:6">
      <c r="A2391" s="403">
        <v>4405</v>
      </c>
      <c r="B2391" s="403">
        <v>49</v>
      </c>
      <c r="C2391" s="166">
        <v>660</v>
      </c>
      <c r="D2391" s="166">
        <v>876</v>
      </c>
      <c r="E2391" s="166" t="s">
        <v>1104</v>
      </c>
      <c r="F2391" s="166">
        <v>682.12607655502609</v>
      </c>
    </row>
    <row r="2392" spans="1:6">
      <c r="A2392" s="403">
        <v>4406</v>
      </c>
      <c r="B2392" s="403">
        <v>49</v>
      </c>
      <c r="C2392" s="166">
        <v>660</v>
      </c>
      <c r="D2392" s="166">
        <v>876</v>
      </c>
      <c r="E2392" s="166" t="s">
        <v>1104</v>
      </c>
      <c r="F2392" s="166">
        <v>682.12607655502609</v>
      </c>
    </row>
    <row r="2393" spans="1:6">
      <c r="A2393" s="403">
        <v>4407</v>
      </c>
      <c r="B2393" s="403">
        <v>49</v>
      </c>
      <c r="C2393" s="166">
        <v>660</v>
      </c>
      <c r="D2393" s="166">
        <v>876</v>
      </c>
      <c r="E2393" s="166" t="s">
        <v>1104</v>
      </c>
      <c r="F2393" s="166">
        <v>682.12607655502609</v>
      </c>
    </row>
    <row r="2394" spans="1:6">
      <c r="A2394" s="403">
        <v>4408</v>
      </c>
      <c r="B2394" s="403">
        <v>49</v>
      </c>
      <c r="C2394" s="166">
        <v>660</v>
      </c>
      <c r="D2394" s="166">
        <v>876</v>
      </c>
      <c r="E2394" s="166" t="s">
        <v>1104</v>
      </c>
      <c r="F2394" s="166">
        <v>682.12607655502609</v>
      </c>
    </row>
    <row r="2395" spans="1:6">
      <c r="A2395" s="403">
        <v>4410</v>
      </c>
      <c r="B2395" s="403">
        <v>49</v>
      </c>
      <c r="C2395" s="166">
        <v>660</v>
      </c>
      <c r="D2395" s="166">
        <v>876</v>
      </c>
      <c r="E2395" s="166" t="s">
        <v>1104</v>
      </c>
      <c r="F2395" s="166">
        <v>682.12607655502609</v>
      </c>
    </row>
    <row r="2396" spans="1:6">
      <c r="A2396" s="403">
        <v>4411</v>
      </c>
      <c r="B2396" s="403">
        <v>49</v>
      </c>
      <c r="C2396" s="166">
        <v>660</v>
      </c>
      <c r="D2396" s="166">
        <v>876</v>
      </c>
      <c r="E2396" s="166" t="s">
        <v>1104</v>
      </c>
      <c r="F2396" s="166">
        <v>682.12607655502609</v>
      </c>
    </row>
    <row r="2397" spans="1:6">
      <c r="A2397" s="403">
        <v>4412</v>
      </c>
      <c r="B2397" s="403">
        <v>49</v>
      </c>
      <c r="C2397" s="166">
        <v>660</v>
      </c>
      <c r="D2397" s="166">
        <v>876</v>
      </c>
      <c r="E2397" s="166" t="s">
        <v>1104</v>
      </c>
      <c r="F2397" s="166">
        <v>682.12607655502609</v>
      </c>
    </row>
    <row r="2398" spans="1:6">
      <c r="A2398" s="403">
        <v>4413</v>
      </c>
      <c r="B2398" s="403">
        <v>49</v>
      </c>
      <c r="C2398" s="166">
        <v>660</v>
      </c>
      <c r="D2398" s="166">
        <v>876</v>
      </c>
      <c r="E2398" s="166" t="s">
        <v>1104</v>
      </c>
      <c r="F2398" s="166">
        <v>682.12607655502609</v>
      </c>
    </row>
    <row r="2399" spans="1:6">
      <c r="A2399" s="403">
        <v>4415</v>
      </c>
      <c r="B2399" s="403">
        <v>49</v>
      </c>
      <c r="C2399" s="166">
        <v>660</v>
      </c>
      <c r="D2399" s="166">
        <v>876</v>
      </c>
      <c r="E2399" s="166" t="s">
        <v>1104</v>
      </c>
      <c r="F2399" s="166">
        <v>682.12607655502609</v>
      </c>
    </row>
    <row r="2400" spans="1:6">
      <c r="A2400" s="403">
        <v>4416</v>
      </c>
      <c r="B2400" s="403">
        <v>49</v>
      </c>
      <c r="C2400" s="166">
        <v>660</v>
      </c>
      <c r="D2400" s="166">
        <v>876</v>
      </c>
      <c r="E2400" s="166" t="s">
        <v>1104</v>
      </c>
      <c r="F2400" s="166">
        <v>682.12607655502609</v>
      </c>
    </row>
    <row r="2401" spans="1:6">
      <c r="A2401" s="403">
        <v>4417</v>
      </c>
      <c r="B2401" s="403">
        <v>48</v>
      </c>
      <c r="C2401" s="166">
        <v>603</v>
      </c>
      <c r="D2401" s="166">
        <v>844</v>
      </c>
      <c r="E2401" s="166" t="s">
        <v>1104</v>
      </c>
      <c r="F2401" s="166">
        <v>2254.8254745866489</v>
      </c>
    </row>
    <row r="2402" spans="1:6">
      <c r="A2402" s="403">
        <v>4418</v>
      </c>
      <c r="B2402" s="403">
        <v>44</v>
      </c>
      <c r="C2402" s="166">
        <v>207</v>
      </c>
      <c r="D2402" s="166">
        <v>1143</v>
      </c>
      <c r="E2402" s="166" t="s">
        <v>1104</v>
      </c>
      <c r="F2402" s="166">
        <v>1504.2944403077693</v>
      </c>
    </row>
    <row r="2403" spans="1:6">
      <c r="A2403" s="403">
        <v>4419</v>
      </c>
      <c r="B2403" s="403">
        <v>44</v>
      </c>
      <c r="C2403" s="166">
        <v>207</v>
      </c>
      <c r="D2403" s="166">
        <v>1143</v>
      </c>
      <c r="E2403" s="166" t="s">
        <v>1104</v>
      </c>
      <c r="F2403" s="166">
        <v>1504.2944403077693</v>
      </c>
    </row>
    <row r="2404" spans="1:6">
      <c r="A2404" s="403">
        <v>4420</v>
      </c>
      <c r="B2404" s="403">
        <v>44</v>
      </c>
      <c r="C2404" s="166">
        <v>207</v>
      </c>
      <c r="D2404" s="166">
        <v>1143</v>
      </c>
      <c r="E2404" s="166" t="s">
        <v>1104</v>
      </c>
      <c r="F2404" s="166">
        <v>1504.2944403077693</v>
      </c>
    </row>
    <row r="2405" spans="1:6">
      <c r="A2405" s="403">
        <v>4421</v>
      </c>
      <c r="B2405" s="403">
        <v>49</v>
      </c>
      <c r="C2405" s="166">
        <v>660</v>
      </c>
      <c r="D2405" s="166">
        <v>876</v>
      </c>
      <c r="E2405" s="166" t="s">
        <v>1104</v>
      </c>
      <c r="F2405" s="166">
        <v>682.12607655502609</v>
      </c>
    </row>
    <row r="2406" spans="1:6">
      <c r="A2406" s="403">
        <v>4422</v>
      </c>
      <c r="B2406" s="403">
        <v>48</v>
      </c>
      <c r="C2406" s="166">
        <v>603</v>
      </c>
      <c r="D2406" s="166">
        <v>844</v>
      </c>
      <c r="E2406" s="166" t="s">
        <v>1104</v>
      </c>
      <c r="F2406" s="166">
        <v>2254.8254745866489</v>
      </c>
    </row>
    <row r="2407" spans="1:6">
      <c r="A2407" s="403">
        <v>4423</v>
      </c>
      <c r="B2407" s="403">
        <v>48</v>
      </c>
      <c r="C2407" s="166">
        <v>603</v>
      </c>
      <c r="D2407" s="166">
        <v>844</v>
      </c>
      <c r="E2407" s="166" t="s">
        <v>1104</v>
      </c>
      <c r="F2407" s="166">
        <v>2254.8254745866489</v>
      </c>
    </row>
    <row r="2408" spans="1:6">
      <c r="A2408" s="403">
        <v>4424</v>
      </c>
      <c r="B2408" s="403">
        <v>48</v>
      </c>
      <c r="C2408" s="166">
        <v>603</v>
      </c>
      <c r="D2408" s="166">
        <v>844</v>
      </c>
      <c r="E2408" s="166" t="s">
        <v>1104</v>
      </c>
      <c r="F2408" s="166">
        <v>2254.8254745866489</v>
      </c>
    </row>
    <row r="2409" spans="1:6">
      <c r="A2409" s="403">
        <v>4425</v>
      </c>
      <c r="B2409" s="403">
        <v>48</v>
      </c>
      <c r="C2409" s="166">
        <v>603</v>
      </c>
      <c r="D2409" s="166">
        <v>844</v>
      </c>
      <c r="E2409" s="166" t="s">
        <v>1104</v>
      </c>
      <c r="F2409" s="166">
        <v>2254.8254745866489</v>
      </c>
    </row>
    <row r="2410" spans="1:6">
      <c r="A2410" s="403">
        <v>4426</v>
      </c>
      <c r="B2410" s="403">
        <v>48</v>
      </c>
      <c r="C2410" s="166">
        <v>603</v>
      </c>
      <c r="D2410" s="166">
        <v>844</v>
      </c>
      <c r="E2410" s="166" t="s">
        <v>1104</v>
      </c>
      <c r="F2410" s="166">
        <v>2254.8254745866489</v>
      </c>
    </row>
    <row r="2411" spans="1:6">
      <c r="A2411" s="403">
        <v>4427</v>
      </c>
      <c r="B2411" s="403">
        <v>48</v>
      </c>
      <c r="C2411" s="166">
        <v>603</v>
      </c>
      <c r="D2411" s="166">
        <v>844</v>
      </c>
      <c r="E2411" s="166" t="s">
        <v>1104</v>
      </c>
      <c r="F2411" s="166">
        <v>2254.8254745866489</v>
      </c>
    </row>
    <row r="2412" spans="1:6">
      <c r="A2412" s="403">
        <v>4428</v>
      </c>
      <c r="B2412" s="403">
        <v>48</v>
      </c>
      <c r="C2412" s="166">
        <v>603</v>
      </c>
      <c r="D2412" s="166">
        <v>844</v>
      </c>
      <c r="E2412" s="166" t="s">
        <v>1104</v>
      </c>
      <c r="F2412" s="166">
        <v>2254.8254745866489</v>
      </c>
    </row>
    <row r="2413" spans="1:6">
      <c r="A2413" s="403">
        <v>4454</v>
      </c>
      <c r="B2413" s="403">
        <v>48</v>
      </c>
      <c r="C2413" s="166">
        <v>603</v>
      </c>
      <c r="D2413" s="166">
        <v>844</v>
      </c>
      <c r="E2413" s="166" t="s">
        <v>1104</v>
      </c>
      <c r="F2413" s="166">
        <v>2254.8254745866489</v>
      </c>
    </row>
    <row r="2414" spans="1:6">
      <c r="A2414" s="403">
        <v>4455</v>
      </c>
      <c r="B2414" s="403">
        <v>48</v>
      </c>
      <c r="C2414" s="166">
        <v>603</v>
      </c>
      <c r="D2414" s="166">
        <v>844</v>
      </c>
      <c r="E2414" s="166" t="s">
        <v>1104</v>
      </c>
      <c r="F2414" s="166">
        <v>2254.8254745866489</v>
      </c>
    </row>
    <row r="2415" spans="1:6">
      <c r="A2415" s="403">
        <v>4461</v>
      </c>
      <c r="B2415" s="403">
        <v>48</v>
      </c>
      <c r="C2415" s="166">
        <v>603</v>
      </c>
      <c r="D2415" s="166">
        <v>844</v>
      </c>
      <c r="E2415" s="166" t="s">
        <v>1104</v>
      </c>
      <c r="F2415" s="166">
        <v>2254.8254745866489</v>
      </c>
    </row>
    <row r="2416" spans="1:6">
      <c r="A2416" s="403">
        <v>4462</v>
      </c>
      <c r="B2416" s="403">
        <v>48</v>
      </c>
      <c r="C2416" s="166">
        <v>603</v>
      </c>
      <c r="D2416" s="166">
        <v>844</v>
      </c>
      <c r="E2416" s="166" t="s">
        <v>1104</v>
      </c>
      <c r="F2416" s="166">
        <v>2254.8254745866489</v>
      </c>
    </row>
    <row r="2417" spans="1:6">
      <c r="A2417" s="403">
        <v>4465</v>
      </c>
      <c r="B2417" s="403">
        <v>48</v>
      </c>
      <c r="C2417" s="166">
        <v>603</v>
      </c>
      <c r="D2417" s="166">
        <v>844</v>
      </c>
      <c r="E2417" s="166" t="s">
        <v>1104</v>
      </c>
      <c r="F2417" s="166">
        <v>2254.8254745866489</v>
      </c>
    </row>
    <row r="2418" spans="1:6">
      <c r="A2418" s="403">
        <v>4467</v>
      </c>
      <c r="B2418" s="403">
        <v>48</v>
      </c>
      <c r="C2418" s="166">
        <v>603</v>
      </c>
      <c r="D2418" s="166">
        <v>844</v>
      </c>
      <c r="E2418" s="166" t="s">
        <v>1104</v>
      </c>
      <c r="F2418" s="166">
        <v>2254.8254745866489</v>
      </c>
    </row>
    <row r="2419" spans="1:6">
      <c r="A2419" s="403">
        <v>4468</v>
      </c>
      <c r="B2419" s="403">
        <v>48</v>
      </c>
      <c r="C2419" s="166">
        <v>603</v>
      </c>
      <c r="D2419" s="166">
        <v>844</v>
      </c>
      <c r="E2419" s="166" t="s">
        <v>1104</v>
      </c>
      <c r="F2419" s="166">
        <v>2254.8254745866489</v>
      </c>
    </row>
    <row r="2420" spans="1:6">
      <c r="A2420" s="403">
        <v>4470</v>
      </c>
      <c r="B2420" s="403">
        <v>48</v>
      </c>
      <c r="C2420" s="166">
        <v>603</v>
      </c>
      <c r="D2420" s="166">
        <v>844</v>
      </c>
      <c r="E2420" s="166" t="s">
        <v>1104</v>
      </c>
      <c r="F2420" s="166">
        <v>2254.8254745866489</v>
      </c>
    </row>
    <row r="2421" spans="1:6">
      <c r="A2421" s="403">
        <v>4471</v>
      </c>
      <c r="B2421" s="403">
        <v>48</v>
      </c>
      <c r="C2421" s="166">
        <v>603</v>
      </c>
      <c r="D2421" s="166">
        <v>844</v>
      </c>
      <c r="E2421" s="166" t="s">
        <v>1104</v>
      </c>
      <c r="F2421" s="166">
        <v>2254.8254745866489</v>
      </c>
    </row>
    <row r="2422" spans="1:6">
      <c r="A2422" s="403">
        <v>4472</v>
      </c>
      <c r="B2422" s="403">
        <v>45</v>
      </c>
      <c r="C2422" s="166">
        <v>255</v>
      </c>
      <c r="D2422" s="166">
        <v>1024</v>
      </c>
      <c r="E2422" s="166" t="s">
        <v>1104</v>
      </c>
      <c r="F2422" s="166">
        <v>2543.9757462686557</v>
      </c>
    </row>
    <row r="2423" spans="1:6">
      <c r="A2423" s="403">
        <v>4474</v>
      </c>
      <c r="B2423" s="403">
        <v>47</v>
      </c>
      <c r="C2423" s="166">
        <v>380</v>
      </c>
      <c r="D2423" s="166">
        <v>820</v>
      </c>
      <c r="E2423" s="166" t="s">
        <v>1104</v>
      </c>
      <c r="F2423" s="166">
        <v>3027.2669841269849</v>
      </c>
    </row>
    <row r="2424" spans="1:6">
      <c r="A2424" s="403">
        <v>4475</v>
      </c>
      <c r="B2424" s="403">
        <v>48</v>
      </c>
      <c r="C2424" s="166">
        <v>603</v>
      </c>
      <c r="D2424" s="166">
        <v>844</v>
      </c>
      <c r="E2424" s="166" t="s">
        <v>1104</v>
      </c>
      <c r="F2424" s="166">
        <v>2254.8254745866489</v>
      </c>
    </row>
    <row r="2425" spans="1:6">
      <c r="A2425" s="403">
        <v>4477</v>
      </c>
      <c r="B2425" s="403">
        <v>45</v>
      </c>
      <c r="C2425" s="166">
        <v>255</v>
      </c>
      <c r="D2425" s="166">
        <v>1024</v>
      </c>
      <c r="E2425" s="166" t="s">
        <v>1104</v>
      </c>
      <c r="F2425" s="166">
        <v>2543.9757462686557</v>
      </c>
    </row>
    <row r="2426" spans="1:6">
      <c r="A2426" s="403">
        <v>4478</v>
      </c>
      <c r="B2426" s="403">
        <v>45</v>
      </c>
      <c r="C2426" s="166">
        <v>255</v>
      </c>
      <c r="D2426" s="166">
        <v>1024</v>
      </c>
      <c r="E2426" s="166" t="s">
        <v>1104</v>
      </c>
      <c r="F2426" s="166">
        <v>2543.9757462686557</v>
      </c>
    </row>
    <row r="2427" spans="1:6">
      <c r="A2427" s="403">
        <v>4479</v>
      </c>
      <c r="B2427" s="403">
        <v>48</v>
      </c>
      <c r="C2427" s="166">
        <v>603</v>
      </c>
      <c r="D2427" s="166">
        <v>844</v>
      </c>
      <c r="E2427" s="166" t="s">
        <v>1104</v>
      </c>
      <c r="F2427" s="166">
        <v>2254.8254745866489</v>
      </c>
    </row>
    <row r="2428" spans="1:6">
      <c r="A2428" s="403">
        <v>4480</v>
      </c>
      <c r="B2428" s="403">
        <v>47</v>
      </c>
      <c r="C2428" s="166">
        <v>380</v>
      </c>
      <c r="D2428" s="166">
        <v>820</v>
      </c>
      <c r="E2428" s="166" t="s">
        <v>1104</v>
      </c>
      <c r="F2428" s="166">
        <v>3027.2669841269849</v>
      </c>
    </row>
    <row r="2429" spans="1:6">
      <c r="A2429" s="403">
        <v>4481</v>
      </c>
      <c r="B2429" s="403">
        <v>47</v>
      </c>
      <c r="C2429" s="166">
        <v>380</v>
      </c>
      <c r="D2429" s="166">
        <v>820</v>
      </c>
      <c r="E2429" s="166" t="s">
        <v>1104</v>
      </c>
      <c r="F2429" s="166">
        <v>3027.2669841269849</v>
      </c>
    </row>
    <row r="2430" spans="1:6">
      <c r="A2430" s="403">
        <v>4482</v>
      </c>
      <c r="B2430" s="403">
        <v>47</v>
      </c>
      <c r="C2430" s="166">
        <v>380</v>
      </c>
      <c r="D2430" s="166">
        <v>820</v>
      </c>
      <c r="E2430" s="166" t="s">
        <v>1104</v>
      </c>
      <c r="F2430" s="166">
        <v>3027.2669841269849</v>
      </c>
    </row>
    <row r="2431" spans="1:6">
      <c r="A2431" s="403">
        <v>4486</v>
      </c>
      <c r="B2431" s="403">
        <v>48</v>
      </c>
      <c r="C2431" s="166">
        <v>603</v>
      </c>
      <c r="D2431" s="166">
        <v>844</v>
      </c>
      <c r="E2431" s="166" t="s">
        <v>1104</v>
      </c>
      <c r="F2431" s="166">
        <v>2254.8254745866489</v>
      </c>
    </row>
    <row r="2432" spans="1:6">
      <c r="A2432" s="403">
        <v>4487</v>
      </c>
      <c r="B2432" s="403">
        <v>48</v>
      </c>
      <c r="C2432" s="166">
        <v>603</v>
      </c>
      <c r="D2432" s="166">
        <v>844</v>
      </c>
      <c r="E2432" s="166" t="s">
        <v>1104</v>
      </c>
      <c r="F2432" s="166">
        <v>2254.8254745866489</v>
      </c>
    </row>
    <row r="2433" spans="1:6">
      <c r="A2433" s="403">
        <v>4488</v>
      </c>
      <c r="B2433" s="403">
        <v>48</v>
      </c>
      <c r="C2433" s="166">
        <v>603</v>
      </c>
      <c r="D2433" s="166">
        <v>844</v>
      </c>
      <c r="E2433" s="166" t="s">
        <v>1104</v>
      </c>
      <c r="F2433" s="166">
        <v>2254.8254745866489</v>
      </c>
    </row>
    <row r="2434" spans="1:6">
      <c r="A2434" s="403">
        <v>4489</v>
      </c>
      <c r="B2434" s="403">
        <v>48</v>
      </c>
      <c r="C2434" s="166">
        <v>603</v>
      </c>
      <c r="D2434" s="166">
        <v>844</v>
      </c>
      <c r="E2434" s="166" t="s">
        <v>1104</v>
      </c>
      <c r="F2434" s="166">
        <v>2254.8254745866489</v>
      </c>
    </row>
    <row r="2435" spans="1:6">
      <c r="A2435" s="403">
        <v>4490</v>
      </c>
      <c r="B2435" s="403">
        <v>48</v>
      </c>
      <c r="C2435" s="166">
        <v>603</v>
      </c>
      <c r="D2435" s="166">
        <v>844</v>
      </c>
      <c r="E2435" s="166" t="s">
        <v>1104</v>
      </c>
      <c r="F2435" s="166">
        <v>2254.8254745866489</v>
      </c>
    </row>
    <row r="2436" spans="1:6">
      <c r="A2436" s="403">
        <v>4491</v>
      </c>
      <c r="B2436" s="403">
        <v>48</v>
      </c>
      <c r="C2436" s="166">
        <v>603</v>
      </c>
      <c r="D2436" s="166">
        <v>844</v>
      </c>
      <c r="E2436" s="166" t="s">
        <v>1104</v>
      </c>
      <c r="F2436" s="166">
        <v>2254.8254745866489</v>
      </c>
    </row>
    <row r="2437" spans="1:6">
      <c r="A2437" s="403">
        <v>4492</v>
      </c>
      <c r="B2437" s="403">
        <v>47</v>
      </c>
      <c r="C2437" s="166">
        <v>380</v>
      </c>
      <c r="D2437" s="166">
        <v>820</v>
      </c>
      <c r="E2437" s="166" t="s">
        <v>1104</v>
      </c>
      <c r="F2437" s="166">
        <v>3027.2669841269849</v>
      </c>
    </row>
    <row r="2438" spans="1:6">
      <c r="A2438" s="403">
        <v>4493</v>
      </c>
      <c r="B2438" s="403">
        <v>48</v>
      </c>
      <c r="C2438" s="166">
        <v>603</v>
      </c>
      <c r="D2438" s="166">
        <v>844</v>
      </c>
      <c r="E2438" s="166" t="s">
        <v>1104</v>
      </c>
      <c r="F2438" s="166">
        <v>2254.8254745866489</v>
      </c>
    </row>
    <row r="2439" spans="1:6">
      <c r="A2439" s="403">
        <v>4494</v>
      </c>
      <c r="B2439" s="403">
        <v>49</v>
      </c>
      <c r="C2439" s="166">
        <v>660</v>
      </c>
      <c r="D2439" s="166">
        <v>876</v>
      </c>
      <c r="E2439" s="166" t="s">
        <v>1104</v>
      </c>
      <c r="F2439" s="166">
        <v>682.12607655502609</v>
      </c>
    </row>
    <row r="2440" spans="1:6">
      <c r="A2440" s="403">
        <v>4496</v>
      </c>
      <c r="B2440" s="403">
        <v>49</v>
      </c>
      <c r="C2440" s="166">
        <v>660</v>
      </c>
      <c r="D2440" s="166">
        <v>876</v>
      </c>
      <c r="E2440" s="166" t="s">
        <v>1104</v>
      </c>
      <c r="F2440" s="166">
        <v>682.12607655502609</v>
      </c>
    </row>
    <row r="2441" spans="1:6">
      <c r="A2441" s="403">
        <v>4497</v>
      </c>
      <c r="B2441" s="403">
        <v>49</v>
      </c>
      <c r="C2441" s="166">
        <v>660</v>
      </c>
      <c r="D2441" s="166">
        <v>876</v>
      </c>
      <c r="E2441" s="166" t="s">
        <v>1104</v>
      </c>
      <c r="F2441" s="166">
        <v>682.12607655502609</v>
      </c>
    </row>
    <row r="2442" spans="1:6">
      <c r="A2442" s="403">
        <v>4498</v>
      </c>
      <c r="B2442" s="403">
        <v>49</v>
      </c>
      <c r="C2442" s="166">
        <v>660</v>
      </c>
      <c r="D2442" s="166">
        <v>876</v>
      </c>
      <c r="E2442" s="166" t="s">
        <v>1104</v>
      </c>
      <c r="F2442" s="166">
        <v>682.12607655502609</v>
      </c>
    </row>
    <row r="2443" spans="1:6">
      <c r="A2443" s="403">
        <v>4500</v>
      </c>
      <c r="B2443" s="403">
        <v>51</v>
      </c>
      <c r="C2443" s="166">
        <v>325</v>
      </c>
      <c r="D2443" s="166">
        <v>1043</v>
      </c>
      <c r="E2443" s="166" t="s">
        <v>1104</v>
      </c>
      <c r="F2443" s="166">
        <v>580.41128456734828</v>
      </c>
    </row>
    <row r="2444" spans="1:6">
      <c r="A2444" s="403">
        <v>4501</v>
      </c>
      <c r="B2444" s="403">
        <v>51</v>
      </c>
      <c r="C2444" s="166">
        <v>325</v>
      </c>
      <c r="D2444" s="166">
        <v>1043</v>
      </c>
      <c r="E2444" s="166" t="s">
        <v>1104</v>
      </c>
      <c r="F2444" s="166">
        <v>580.41128456734828</v>
      </c>
    </row>
    <row r="2445" spans="1:6">
      <c r="A2445" s="403">
        <v>4502</v>
      </c>
      <c r="B2445" s="403">
        <v>51</v>
      </c>
      <c r="C2445" s="166">
        <v>325</v>
      </c>
      <c r="D2445" s="166">
        <v>1043</v>
      </c>
      <c r="E2445" s="166" t="s">
        <v>1104</v>
      </c>
      <c r="F2445" s="166">
        <v>580.41128456734828</v>
      </c>
    </row>
    <row r="2446" spans="1:6">
      <c r="A2446" s="403">
        <v>4503</v>
      </c>
      <c r="B2446" s="403">
        <v>51</v>
      </c>
      <c r="C2446" s="166">
        <v>325</v>
      </c>
      <c r="D2446" s="166">
        <v>1043</v>
      </c>
      <c r="E2446" s="166" t="s">
        <v>1104</v>
      </c>
      <c r="F2446" s="166">
        <v>580.41128456734828</v>
      </c>
    </row>
    <row r="2447" spans="1:6">
      <c r="A2447" s="403">
        <v>4504</v>
      </c>
      <c r="B2447" s="403">
        <v>51</v>
      </c>
      <c r="C2447" s="166">
        <v>325</v>
      </c>
      <c r="D2447" s="166">
        <v>1043</v>
      </c>
      <c r="E2447" s="166" t="s">
        <v>1104</v>
      </c>
      <c r="F2447" s="166">
        <v>580.41128456734828</v>
      </c>
    </row>
    <row r="2448" spans="1:6">
      <c r="A2448" s="403">
        <v>4505</v>
      </c>
      <c r="B2448" s="403">
        <v>51</v>
      </c>
      <c r="C2448" s="166">
        <v>325</v>
      </c>
      <c r="D2448" s="166">
        <v>1043</v>
      </c>
      <c r="E2448" s="166" t="s">
        <v>1104</v>
      </c>
      <c r="F2448" s="166">
        <v>580.41128456734828</v>
      </c>
    </row>
    <row r="2449" spans="1:6">
      <c r="A2449" s="403">
        <v>4506</v>
      </c>
      <c r="B2449" s="403">
        <v>51</v>
      </c>
      <c r="C2449" s="166">
        <v>325</v>
      </c>
      <c r="D2449" s="166">
        <v>1043</v>
      </c>
      <c r="E2449" s="166" t="s">
        <v>1104</v>
      </c>
      <c r="F2449" s="166">
        <v>580.41128456734828</v>
      </c>
    </row>
    <row r="2450" spans="1:6">
      <c r="A2450" s="403">
        <v>4507</v>
      </c>
      <c r="B2450" s="403">
        <v>51</v>
      </c>
      <c r="C2450" s="166">
        <v>325</v>
      </c>
      <c r="D2450" s="166">
        <v>1043</v>
      </c>
      <c r="E2450" s="166" t="s">
        <v>1104</v>
      </c>
      <c r="F2450" s="166">
        <v>580.41128456734828</v>
      </c>
    </row>
    <row r="2451" spans="1:6">
      <c r="A2451" s="403">
        <v>4508</v>
      </c>
      <c r="B2451" s="403">
        <v>51</v>
      </c>
      <c r="C2451" s="166">
        <v>325</v>
      </c>
      <c r="D2451" s="166">
        <v>1043</v>
      </c>
      <c r="E2451" s="166" t="s">
        <v>1104</v>
      </c>
      <c r="F2451" s="166">
        <v>580.41128456734828</v>
      </c>
    </row>
    <row r="2452" spans="1:6">
      <c r="A2452" s="403">
        <v>4509</v>
      </c>
      <c r="B2452" s="403">
        <v>51</v>
      </c>
      <c r="C2452" s="166">
        <v>325</v>
      </c>
      <c r="D2452" s="166">
        <v>1043</v>
      </c>
      <c r="E2452" s="166" t="s">
        <v>1104</v>
      </c>
      <c r="F2452" s="166">
        <v>580.41128456734828</v>
      </c>
    </row>
    <row r="2453" spans="1:6">
      <c r="A2453" s="403">
        <v>4510</v>
      </c>
      <c r="B2453" s="403">
        <v>51</v>
      </c>
      <c r="C2453" s="166">
        <v>325</v>
      </c>
      <c r="D2453" s="166">
        <v>1043</v>
      </c>
      <c r="E2453" s="166" t="s">
        <v>1104</v>
      </c>
      <c r="F2453" s="166">
        <v>580.41128456734828</v>
      </c>
    </row>
    <row r="2454" spans="1:6">
      <c r="A2454" s="403">
        <v>4511</v>
      </c>
      <c r="B2454" s="403">
        <v>51</v>
      </c>
      <c r="C2454" s="166">
        <v>325</v>
      </c>
      <c r="D2454" s="166">
        <v>1043</v>
      </c>
      <c r="E2454" s="166" t="s">
        <v>1104</v>
      </c>
      <c r="F2454" s="166">
        <v>580.41128456734828</v>
      </c>
    </row>
    <row r="2455" spans="1:6">
      <c r="A2455" s="403">
        <v>4512</v>
      </c>
      <c r="B2455" s="403">
        <v>51</v>
      </c>
      <c r="C2455" s="166">
        <v>325</v>
      </c>
      <c r="D2455" s="166">
        <v>1043</v>
      </c>
      <c r="E2455" s="166" t="s">
        <v>1104</v>
      </c>
      <c r="F2455" s="166">
        <v>580.41128456734828</v>
      </c>
    </row>
    <row r="2456" spans="1:6">
      <c r="A2456" s="403">
        <v>4514</v>
      </c>
      <c r="B2456" s="403">
        <v>51</v>
      </c>
      <c r="C2456" s="166">
        <v>325</v>
      </c>
      <c r="D2456" s="166">
        <v>1043</v>
      </c>
      <c r="E2456" s="166" t="s">
        <v>1104</v>
      </c>
      <c r="F2456" s="166">
        <v>580.41128456734828</v>
      </c>
    </row>
    <row r="2457" spans="1:6">
      <c r="A2457" s="403">
        <v>4515</v>
      </c>
      <c r="B2457" s="403">
        <v>51</v>
      </c>
      <c r="C2457" s="166">
        <v>325</v>
      </c>
      <c r="D2457" s="166">
        <v>1043</v>
      </c>
      <c r="E2457" s="166" t="s">
        <v>1104</v>
      </c>
      <c r="F2457" s="166">
        <v>580.41128456734828</v>
      </c>
    </row>
    <row r="2458" spans="1:6">
      <c r="A2458" s="403">
        <v>4516</v>
      </c>
      <c r="B2458" s="403">
        <v>51</v>
      </c>
      <c r="C2458" s="166">
        <v>325</v>
      </c>
      <c r="D2458" s="166">
        <v>1043</v>
      </c>
      <c r="E2458" s="166" t="s">
        <v>1104</v>
      </c>
      <c r="F2458" s="166">
        <v>580.41128456734828</v>
      </c>
    </row>
    <row r="2459" spans="1:6">
      <c r="A2459" s="403">
        <v>4517</v>
      </c>
      <c r="B2459" s="403">
        <v>51</v>
      </c>
      <c r="C2459" s="166">
        <v>325</v>
      </c>
      <c r="D2459" s="166">
        <v>1043</v>
      </c>
      <c r="E2459" s="166" t="s">
        <v>1104</v>
      </c>
      <c r="F2459" s="166">
        <v>580.41128456734828</v>
      </c>
    </row>
    <row r="2460" spans="1:6">
      <c r="A2460" s="403">
        <v>4518</v>
      </c>
      <c r="B2460" s="403">
        <v>51</v>
      </c>
      <c r="C2460" s="166">
        <v>325</v>
      </c>
      <c r="D2460" s="166">
        <v>1043</v>
      </c>
      <c r="E2460" s="166" t="s">
        <v>1104</v>
      </c>
      <c r="F2460" s="166">
        <v>580.41128456734828</v>
      </c>
    </row>
    <row r="2461" spans="1:6">
      <c r="A2461" s="403">
        <v>4519</v>
      </c>
      <c r="B2461" s="403">
        <v>51</v>
      </c>
      <c r="C2461" s="166">
        <v>325</v>
      </c>
      <c r="D2461" s="166">
        <v>1043</v>
      </c>
      <c r="E2461" s="166" t="s">
        <v>1104</v>
      </c>
      <c r="F2461" s="166">
        <v>580.41128456734828</v>
      </c>
    </row>
    <row r="2462" spans="1:6">
      <c r="A2462" s="403">
        <v>4520</v>
      </c>
      <c r="B2462" s="403">
        <v>51</v>
      </c>
      <c r="C2462" s="166">
        <v>325</v>
      </c>
      <c r="D2462" s="166">
        <v>1043</v>
      </c>
      <c r="E2462" s="166" t="s">
        <v>1104</v>
      </c>
      <c r="F2462" s="166">
        <v>580.41128456734828</v>
      </c>
    </row>
    <row r="2463" spans="1:6">
      <c r="A2463" s="403">
        <v>4521</v>
      </c>
      <c r="B2463" s="403">
        <v>51</v>
      </c>
      <c r="C2463" s="166">
        <v>325</v>
      </c>
      <c r="D2463" s="166">
        <v>1043</v>
      </c>
      <c r="E2463" s="166" t="s">
        <v>1104</v>
      </c>
      <c r="F2463" s="166">
        <v>580.41128456734828</v>
      </c>
    </row>
    <row r="2464" spans="1:6">
      <c r="A2464" s="403">
        <v>4550</v>
      </c>
      <c r="B2464" s="403">
        <v>51</v>
      </c>
      <c r="C2464" s="166">
        <v>325</v>
      </c>
      <c r="D2464" s="166">
        <v>1043</v>
      </c>
      <c r="E2464" s="166" t="s">
        <v>1104</v>
      </c>
      <c r="F2464" s="166">
        <v>580.41128456734828</v>
      </c>
    </row>
    <row r="2465" spans="1:6">
      <c r="A2465" s="403">
        <v>4551</v>
      </c>
      <c r="B2465" s="403">
        <v>51</v>
      </c>
      <c r="C2465" s="166">
        <v>325</v>
      </c>
      <c r="D2465" s="166">
        <v>1043</v>
      </c>
      <c r="E2465" s="166" t="s">
        <v>1104</v>
      </c>
      <c r="F2465" s="166">
        <v>580.41128456734828</v>
      </c>
    </row>
    <row r="2466" spans="1:6">
      <c r="A2466" s="403">
        <v>4552</v>
      </c>
      <c r="B2466" s="403">
        <v>51</v>
      </c>
      <c r="C2466" s="166">
        <v>325</v>
      </c>
      <c r="D2466" s="166">
        <v>1043</v>
      </c>
      <c r="E2466" s="166" t="s">
        <v>1104</v>
      </c>
      <c r="F2466" s="166">
        <v>580.41128456734828</v>
      </c>
    </row>
    <row r="2467" spans="1:6">
      <c r="A2467" s="403">
        <v>4553</v>
      </c>
      <c r="B2467" s="403">
        <v>51</v>
      </c>
      <c r="C2467" s="166">
        <v>325</v>
      </c>
      <c r="D2467" s="166">
        <v>1043</v>
      </c>
      <c r="E2467" s="166" t="s">
        <v>1104</v>
      </c>
      <c r="F2467" s="166">
        <v>580.41128456734828</v>
      </c>
    </row>
    <row r="2468" spans="1:6">
      <c r="A2468" s="403">
        <v>4554</v>
      </c>
      <c r="B2468" s="403">
        <v>51</v>
      </c>
      <c r="C2468" s="166">
        <v>325</v>
      </c>
      <c r="D2468" s="166">
        <v>1043</v>
      </c>
      <c r="E2468" s="166" t="s">
        <v>1104</v>
      </c>
      <c r="F2468" s="166">
        <v>580.41128456734828</v>
      </c>
    </row>
    <row r="2469" spans="1:6">
      <c r="A2469" s="403">
        <v>4555</v>
      </c>
      <c r="B2469" s="403">
        <v>51</v>
      </c>
      <c r="C2469" s="166">
        <v>325</v>
      </c>
      <c r="D2469" s="166">
        <v>1043</v>
      </c>
      <c r="E2469" s="166" t="s">
        <v>1104</v>
      </c>
      <c r="F2469" s="166">
        <v>580.41128456734828</v>
      </c>
    </row>
    <row r="2470" spans="1:6">
      <c r="A2470" s="403">
        <v>4556</v>
      </c>
      <c r="B2470" s="403">
        <v>51</v>
      </c>
      <c r="C2470" s="166">
        <v>325</v>
      </c>
      <c r="D2470" s="166">
        <v>1043</v>
      </c>
      <c r="E2470" s="166" t="s">
        <v>1104</v>
      </c>
      <c r="F2470" s="166">
        <v>580.41128456734828</v>
      </c>
    </row>
    <row r="2471" spans="1:6">
      <c r="A2471" s="403">
        <v>4557</v>
      </c>
      <c r="B2471" s="403">
        <v>51</v>
      </c>
      <c r="C2471" s="166">
        <v>325</v>
      </c>
      <c r="D2471" s="166">
        <v>1043</v>
      </c>
      <c r="E2471" s="166" t="s">
        <v>1104</v>
      </c>
      <c r="F2471" s="166">
        <v>580.41128456734828</v>
      </c>
    </row>
    <row r="2472" spans="1:6">
      <c r="A2472" s="403">
        <v>4558</v>
      </c>
      <c r="B2472" s="403">
        <v>51</v>
      </c>
      <c r="C2472" s="166">
        <v>325</v>
      </c>
      <c r="D2472" s="166">
        <v>1043</v>
      </c>
      <c r="E2472" s="166" t="s">
        <v>1104</v>
      </c>
      <c r="F2472" s="166">
        <v>580.41128456734828</v>
      </c>
    </row>
    <row r="2473" spans="1:6">
      <c r="A2473" s="403">
        <v>4559</v>
      </c>
      <c r="B2473" s="403">
        <v>51</v>
      </c>
      <c r="C2473" s="166">
        <v>325</v>
      </c>
      <c r="D2473" s="166">
        <v>1043</v>
      </c>
      <c r="E2473" s="166" t="s">
        <v>1104</v>
      </c>
      <c r="F2473" s="166">
        <v>580.41128456734828</v>
      </c>
    </row>
    <row r="2474" spans="1:6">
      <c r="A2474" s="403">
        <v>4560</v>
      </c>
      <c r="B2474" s="403">
        <v>51</v>
      </c>
      <c r="C2474" s="166">
        <v>325</v>
      </c>
      <c r="D2474" s="166">
        <v>1043</v>
      </c>
      <c r="E2474" s="166" t="s">
        <v>1104</v>
      </c>
      <c r="F2474" s="166">
        <v>580.41128456734828</v>
      </c>
    </row>
    <row r="2475" spans="1:6">
      <c r="A2475" s="403">
        <v>4561</v>
      </c>
      <c r="B2475" s="403">
        <v>51</v>
      </c>
      <c r="C2475" s="166">
        <v>325</v>
      </c>
      <c r="D2475" s="166">
        <v>1043</v>
      </c>
      <c r="E2475" s="166" t="s">
        <v>1104</v>
      </c>
      <c r="F2475" s="166">
        <v>580.41128456734828</v>
      </c>
    </row>
    <row r="2476" spans="1:6">
      <c r="A2476" s="403">
        <v>4562</v>
      </c>
      <c r="B2476" s="403">
        <v>51</v>
      </c>
      <c r="C2476" s="166">
        <v>325</v>
      </c>
      <c r="D2476" s="166">
        <v>1043</v>
      </c>
      <c r="E2476" s="166" t="s">
        <v>1104</v>
      </c>
      <c r="F2476" s="166">
        <v>580.41128456734828</v>
      </c>
    </row>
    <row r="2477" spans="1:6">
      <c r="A2477" s="403">
        <v>4563</v>
      </c>
      <c r="B2477" s="403">
        <v>51</v>
      </c>
      <c r="C2477" s="166">
        <v>325</v>
      </c>
      <c r="D2477" s="166">
        <v>1043</v>
      </c>
      <c r="E2477" s="166" t="s">
        <v>1104</v>
      </c>
      <c r="F2477" s="166">
        <v>580.41128456734828</v>
      </c>
    </row>
    <row r="2478" spans="1:6">
      <c r="A2478" s="403">
        <v>4564</v>
      </c>
      <c r="B2478" s="403">
        <v>51</v>
      </c>
      <c r="C2478" s="166">
        <v>325</v>
      </c>
      <c r="D2478" s="166">
        <v>1043</v>
      </c>
      <c r="E2478" s="166" t="s">
        <v>1104</v>
      </c>
      <c r="F2478" s="166">
        <v>580.41128456734828</v>
      </c>
    </row>
    <row r="2479" spans="1:6">
      <c r="A2479" s="403">
        <v>4565</v>
      </c>
      <c r="B2479" s="403">
        <v>51</v>
      </c>
      <c r="C2479" s="166">
        <v>325</v>
      </c>
      <c r="D2479" s="166">
        <v>1043</v>
      </c>
      <c r="E2479" s="166" t="s">
        <v>1104</v>
      </c>
      <c r="F2479" s="166">
        <v>580.41128456734828</v>
      </c>
    </row>
    <row r="2480" spans="1:6">
      <c r="A2480" s="403">
        <v>4566</v>
      </c>
      <c r="B2480" s="403">
        <v>51</v>
      </c>
      <c r="C2480" s="166">
        <v>325</v>
      </c>
      <c r="D2480" s="166">
        <v>1043</v>
      </c>
      <c r="E2480" s="166" t="s">
        <v>1104</v>
      </c>
      <c r="F2480" s="166">
        <v>580.41128456734828</v>
      </c>
    </row>
    <row r="2481" spans="1:6">
      <c r="A2481" s="403">
        <v>4567</v>
      </c>
      <c r="B2481" s="403">
        <v>51</v>
      </c>
      <c r="C2481" s="166">
        <v>325</v>
      </c>
      <c r="D2481" s="166">
        <v>1043</v>
      </c>
      <c r="E2481" s="166" t="s">
        <v>1104</v>
      </c>
      <c r="F2481" s="166">
        <v>580.41128456734828</v>
      </c>
    </row>
    <row r="2482" spans="1:6">
      <c r="A2482" s="403">
        <v>4568</v>
      </c>
      <c r="B2482" s="403">
        <v>51</v>
      </c>
      <c r="C2482" s="166">
        <v>325</v>
      </c>
      <c r="D2482" s="166">
        <v>1043</v>
      </c>
      <c r="E2482" s="166" t="s">
        <v>1104</v>
      </c>
      <c r="F2482" s="166">
        <v>580.41128456734828</v>
      </c>
    </row>
    <row r="2483" spans="1:6">
      <c r="A2483" s="403">
        <v>4569</v>
      </c>
      <c r="B2483" s="403">
        <v>51</v>
      </c>
      <c r="C2483" s="166">
        <v>325</v>
      </c>
      <c r="D2483" s="166">
        <v>1043</v>
      </c>
      <c r="E2483" s="166" t="s">
        <v>1104</v>
      </c>
      <c r="F2483" s="166">
        <v>580.41128456734828</v>
      </c>
    </row>
    <row r="2484" spans="1:6">
      <c r="A2484" s="403">
        <v>4570</v>
      </c>
      <c r="B2484" s="403">
        <v>50</v>
      </c>
      <c r="C2484" s="166">
        <v>229</v>
      </c>
      <c r="D2484" s="166">
        <v>1375</v>
      </c>
      <c r="E2484" s="166" t="s">
        <v>1104</v>
      </c>
      <c r="F2484" s="166">
        <v>971.33073694029781</v>
      </c>
    </row>
    <row r="2485" spans="1:6">
      <c r="A2485" s="403">
        <v>4571</v>
      </c>
      <c r="B2485" s="403">
        <v>51</v>
      </c>
      <c r="C2485" s="166">
        <v>325</v>
      </c>
      <c r="D2485" s="166">
        <v>1043</v>
      </c>
      <c r="E2485" s="166" t="s">
        <v>1104</v>
      </c>
      <c r="F2485" s="166">
        <v>580.41128456734828</v>
      </c>
    </row>
    <row r="2486" spans="1:6">
      <c r="A2486" s="403">
        <v>4572</v>
      </c>
      <c r="B2486" s="403">
        <v>51</v>
      </c>
      <c r="C2486" s="166">
        <v>325</v>
      </c>
      <c r="D2486" s="166">
        <v>1043</v>
      </c>
      <c r="E2486" s="166" t="s">
        <v>1104</v>
      </c>
      <c r="F2486" s="166">
        <v>580.41128456734828</v>
      </c>
    </row>
    <row r="2487" spans="1:6">
      <c r="A2487" s="403">
        <v>4573</v>
      </c>
      <c r="B2487" s="403">
        <v>51</v>
      </c>
      <c r="C2487" s="166">
        <v>325</v>
      </c>
      <c r="D2487" s="166">
        <v>1043</v>
      </c>
      <c r="E2487" s="166" t="s">
        <v>1104</v>
      </c>
      <c r="F2487" s="166">
        <v>580.41128456734828</v>
      </c>
    </row>
    <row r="2488" spans="1:6">
      <c r="A2488" s="403">
        <v>4574</v>
      </c>
      <c r="B2488" s="403">
        <v>51</v>
      </c>
      <c r="C2488" s="166">
        <v>325</v>
      </c>
      <c r="D2488" s="166">
        <v>1043</v>
      </c>
      <c r="E2488" s="166" t="s">
        <v>1104</v>
      </c>
      <c r="F2488" s="166">
        <v>580.41128456734828</v>
      </c>
    </row>
    <row r="2489" spans="1:6">
      <c r="A2489" s="403">
        <v>4575</v>
      </c>
      <c r="B2489" s="403">
        <v>51</v>
      </c>
      <c r="C2489" s="166">
        <v>325</v>
      </c>
      <c r="D2489" s="166">
        <v>1043</v>
      </c>
      <c r="E2489" s="166" t="s">
        <v>1104</v>
      </c>
      <c r="F2489" s="166">
        <v>580.41128456734828</v>
      </c>
    </row>
    <row r="2490" spans="1:6">
      <c r="A2490" s="403">
        <v>4580</v>
      </c>
      <c r="B2490" s="403">
        <v>50</v>
      </c>
      <c r="C2490" s="166">
        <v>229</v>
      </c>
      <c r="D2490" s="166">
        <v>1375</v>
      </c>
      <c r="E2490" s="166" t="s">
        <v>1104</v>
      </c>
      <c r="F2490" s="166">
        <v>971.33073694029781</v>
      </c>
    </row>
    <row r="2491" spans="1:6">
      <c r="A2491" s="403">
        <v>4581</v>
      </c>
      <c r="B2491" s="403">
        <v>50</v>
      </c>
      <c r="C2491" s="166">
        <v>229</v>
      </c>
      <c r="D2491" s="166">
        <v>1375</v>
      </c>
      <c r="E2491" s="166" t="s">
        <v>1104</v>
      </c>
      <c r="F2491" s="166">
        <v>971.33073694029781</v>
      </c>
    </row>
    <row r="2492" spans="1:6">
      <c r="A2492" s="403">
        <v>4600</v>
      </c>
      <c r="B2492" s="403">
        <v>50</v>
      </c>
      <c r="C2492" s="166">
        <v>229</v>
      </c>
      <c r="D2492" s="166">
        <v>1375</v>
      </c>
      <c r="E2492" s="166" t="s">
        <v>1104</v>
      </c>
      <c r="F2492" s="166">
        <v>971.33073694029781</v>
      </c>
    </row>
    <row r="2493" spans="1:6">
      <c r="A2493" s="403">
        <v>4601</v>
      </c>
      <c r="B2493" s="403">
        <v>50</v>
      </c>
      <c r="C2493" s="166">
        <v>229</v>
      </c>
      <c r="D2493" s="166">
        <v>1375</v>
      </c>
      <c r="E2493" s="166" t="s">
        <v>1104</v>
      </c>
      <c r="F2493" s="166">
        <v>971.33073694029781</v>
      </c>
    </row>
    <row r="2494" spans="1:6">
      <c r="A2494" s="403">
        <v>4605</v>
      </c>
      <c r="B2494" s="403">
        <v>50</v>
      </c>
      <c r="C2494" s="166">
        <v>229</v>
      </c>
      <c r="D2494" s="166">
        <v>1375</v>
      </c>
      <c r="E2494" s="166" t="s">
        <v>1104</v>
      </c>
      <c r="F2494" s="166">
        <v>971.33073694029781</v>
      </c>
    </row>
    <row r="2495" spans="1:6">
      <c r="A2495" s="403">
        <v>4606</v>
      </c>
      <c r="B2495" s="403">
        <v>50</v>
      </c>
      <c r="C2495" s="166">
        <v>229</v>
      </c>
      <c r="D2495" s="166">
        <v>1375</v>
      </c>
      <c r="E2495" s="166" t="s">
        <v>1104</v>
      </c>
      <c r="F2495" s="166">
        <v>971.33073694029781</v>
      </c>
    </row>
    <row r="2496" spans="1:6">
      <c r="A2496" s="403">
        <v>4608</v>
      </c>
      <c r="B2496" s="403">
        <v>50</v>
      </c>
      <c r="C2496" s="166">
        <v>229</v>
      </c>
      <c r="D2496" s="166">
        <v>1375</v>
      </c>
      <c r="E2496" s="166" t="s">
        <v>1104</v>
      </c>
      <c r="F2496" s="166">
        <v>971.33073694029781</v>
      </c>
    </row>
    <row r="2497" spans="1:6">
      <c r="A2497" s="403">
        <v>4610</v>
      </c>
      <c r="B2497" s="403">
        <v>50</v>
      </c>
      <c r="C2497" s="166">
        <v>229</v>
      </c>
      <c r="D2497" s="166">
        <v>1375</v>
      </c>
      <c r="E2497" s="166" t="s">
        <v>1104</v>
      </c>
      <c r="F2497" s="166">
        <v>971.33073694029781</v>
      </c>
    </row>
    <row r="2498" spans="1:6">
      <c r="A2498" s="403">
        <v>4611</v>
      </c>
      <c r="B2498" s="403">
        <v>50</v>
      </c>
      <c r="C2498" s="166">
        <v>229</v>
      </c>
      <c r="D2498" s="166">
        <v>1375</v>
      </c>
      <c r="E2498" s="166" t="s">
        <v>1104</v>
      </c>
      <c r="F2498" s="166">
        <v>971.33073694029781</v>
      </c>
    </row>
    <row r="2499" spans="1:6">
      <c r="A2499" s="403">
        <v>4612</v>
      </c>
      <c r="B2499" s="403">
        <v>50</v>
      </c>
      <c r="C2499" s="166">
        <v>229</v>
      </c>
      <c r="D2499" s="166">
        <v>1375</v>
      </c>
      <c r="E2499" s="166" t="s">
        <v>1104</v>
      </c>
      <c r="F2499" s="166">
        <v>971.33073694029781</v>
      </c>
    </row>
    <row r="2500" spans="1:6">
      <c r="A2500" s="403">
        <v>4613</v>
      </c>
      <c r="B2500" s="403">
        <v>50</v>
      </c>
      <c r="C2500" s="166">
        <v>229</v>
      </c>
      <c r="D2500" s="166">
        <v>1375</v>
      </c>
      <c r="E2500" s="166" t="s">
        <v>1104</v>
      </c>
      <c r="F2500" s="166">
        <v>971.33073694029781</v>
      </c>
    </row>
    <row r="2501" spans="1:6">
      <c r="A2501" s="403">
        <v>4614</v>
      </c>
      <c r="B2501" s="403">
        <v>50</v>
      </c>
      <c r="C2501" s="166">
        <v>229</v>
      </c>
      <c r="D2501" s="166">
        <v>1375</v>
      </c>
      <c r="E2501" s="166" t="s">
        <v>1104</v>
      </c>
      <c r="F2501" s="166">
        <v>971.33073694029781</v>
      </c>
    </row>
    <row r="2502" spans="1:6">
      <c r="A2502" s="403">
        <v>4615</v>
      </c>
      <c r="B2502" s="403">
        <v>50</v>
      </c>
      <c r="C2502" s="166">
        <v>229</v>
      </c>
      <c r="D2502" s="166">
        <v>1375</v>
      </c>
      <c r="E2502" s="166" t="s">
        <v>1104</v>
      </c>
      <c r="F2502" s="166">
        <v>971.33073694029781</v>
      </c>
    </row>
    <row r="2503" spans="1:6">
      <c r="A2503" s="403">
        <v>4620</v>
      </c>
      <c r="B2503" s="403">
        <v>50</v>
      </c>
      <c r="C2503" s="166">
        <v>229</v>
      </c>
      <c r="D2503" s="166">
        <v>1375</v>
      </c>
      <c r="E2503" s="166" t="s">
        <v>1104</v>
      </c>
      <c r="F2503" s="166">
        <v>971.33073694029781</v>
      </c>
    </row>
    <row r="2504" spans="1:6">
      <c r="A2504" s="403">
        <v>4621</v>
      </c>
      <c r="B2504" s="403">
        <v>50</v>
      </c>
      <c r="C2504" s="166">
        <v>229</v>
      </c>
      <c r="D2504" s="166">
        <v>1375</v>
      </c>
      <c r="E2504" s="166" t="s">
        <v>1104</v>
      </c>
      <c r="F2504" s="166">
        <v>971.33073694029781</v>
      </c>
    </row>
    <row r="2505" spans="1:6">
      <c r="A2505" s="403">
        <v>4625</v>
      </c>
      <c r="B2505" s="403">
        <v>50</v>
      </c>
      <c r="C2505" s="166">
        <v>229</v>
      </c>
      <c r="D2505" s="166">
        <v>1375</v>
      </c>
      <c r="E2505" s="166" t="s">
        <v>1104</v>
      </c>
      <c r="F2505" s="166">
        <v>971.33073694029781</v>
      </c>
    </row>
    <row r="2506" spans="1:6">
      <c r="A2506" s="403">
        <v>4626</v>
      </c>
      <c r="B2506" s="403">
        <v>50</v>
      </c>
      <c r="C2506" s="166">
        <v>229</v>
      </c>
      <c r="D2506" s="166">
        <v>1375</v>
      </c>
      <c r="E2506" s="166" t="s">
        <v>1104</v>
      </c>
      <c r="F2506" s="166">
        <v>971.33073694029781</v>
      </c>
    </row>
    <row r="2507" spans="1:6">
      <c r="A2507" s="403">
        <v>4627</v>
      </c>
      <c r="B2507" s="403">
        <v>50</v>
      </c>
      <c r="C2507" s="166">
        <v>229</v>
      </c>
      <c r="D2507" s="166">
        <v>1375</v>
      </c>
      <c r="E2507" s="166" t="s">
        <v>1104</v>
      </c>
      <c r="F2507" s="166">
        <v>971.33073694029781</v>
      </c>
    </row>
    <row r="2508" spans="1:6">
      <c r="A2508" s="403">
        <v>4630</v>
      </c>
      <c r="B2508" s="403">
        <v>50</v>
      </c>
      <c r="C2508" s="166">
        <v>229</v>
      </c>
      <c r="D2508" s="166">
        <v>1375</v>
      </c>
      <c r="E2508" s="166" t="s">
        <v>1104</v>
      </c>
      <c r="F2508" s="166">
        <v>971.33073694029781</v>
      </c>
    </row>
    <row r="2509" spans="1:6">
      <c r="A2509" s="403">
        <v>4650</v>
      </c>
      <c r="B2509" s="403">
        <v>50</v>
      </c>
      <c r="C2509" s="166">
        <v>229</v>
      </c>
      <c r="D2509" s="166">
        <v>1375</v>
      </c>
      <c r="E2509" s="166" t="s">
        <v>1104</v>
      </c>
      <c r="F2509" s="166">
        <v>971.33073694029781</v>
      </c>
    </row>
    <row r="2510" spans="1:6">
      <c r="A2510" s="403">
        <v>4655</v>
      </c>
      <c r="B2510" s="403">
        <v>50</v>
      </c>
      <c r="C2510" s="166">
        <v>229</v>
      </c>
      <c r="D2510" s="166">
        <v>1375</v>
      </c>
      <c r="E2510" s="166" t="s">
        <v>1104</v>
      </c>
      <c r="F2510" s="166">
        <v>971.33073694029781</v>
      </c>
    </row>
    <row r="2511" spans="1:6">
      <c r="A2511" s="403">
        <v>4659</v>
      </c>
      <c r="B2511" s="403">
        <v>50</v>
      </c>
      <c r="C2511" s="166">
        <v>229</v>
      </c>
      <c r="D2511" s="166">
        <v>1375</v>
      </c>
      <c r="E2511" s="166" t="s">
        <v>1104</v>
      </c>
      <c r="F2511" s="166">
        <v>971.33073694029781</v>
      </c>
    </row>
    <row r="2512" spans="1:6">
      <c r="A2512" s="403">
        <v>4660</v>
      </c>
      <c r="B2512" s="403">
        <v>50</v>
      </c>
      <c r="C2512" s="166">
        <v>229</v>
      </c>
      <c r="D2512" s="166">
        <v>1375</v>
      </c>
      <c r="E2512" s="166" t="s">
        <v>1104</v>
      </c>
      <c r="F2512" s="166">
        <v>971.33073694029781</v>
      </c>
    </row>
    <row r="2513" spans="1:6">
      <c r="A2513" s="403">
        <v>4662</v>
      </c>
      <c r="B2513" s="403">
        <v>50</v>
      </c>
      <c r="C2513" s="166">
        <v>229</v>
      </c>
      <c r="D2513" s="166">
        <v>1375</v>
      </c>
      <c r="E2513" s="166" t="s">
        <v>1104</v>
      </c>
      <c r="F2513" s="166">
        <v>971.33073694029781</v>
      </c>
    </row>
    <row r="2514" spans="1:6">
      <c r="A2514" s="403">
        <v>4670</v>
      </c>
      <c r="B2514" s="403">
        <v>50</v>
      </c>
      <c r="C2514" s="166">
        <v>229</v>
      </c>
      <c r="D2514" s="166">
        <v>1375</v>
      </c>
      <c r="E2514" s="166" t="s">
        <v>1104</v>
      </c>
      <c r="F2514" s="166">
        <v>971.33073694029781</v>
      </c>
    </row>
    <row r="2515" spans="1:6">
      <c r="A2515" s="403">
        <v>4671</v>
      </c>
      <c r="B2515" s="403">
        <v>50</v>
      </c>
      <c r="C2515" s="166">
        <v>229</v>
      </c>
      <c r="D2515" s="166">
        <v>1375</v>
      </c>
      <c r="E2515" s="166" t="s">
        <v>1104</v>
      </c>
      <c r="F2515" s="166">
        <v>971.33073694029781</v>
      </c>
    </row>
    <row r="2516" spans="1:6">
      <c r="A2516" s="403">
        <v>4673</v>
      </c>
      <c r="B2516" s="403">
        <v>50</v>
      </c>
      <c r="C2516" s="166">
        <v>229</v>
      </c>
      <c r="D2516" s="166">
        <v>1375</v>
      </c>
      <c r="E2516" s="166" t="s">
        <v>1104</v>
      </c>
      <c r="F2516" s="166">
        <v>971.33073694029781</v>
      </c>
    </row>
    <row r="2517" spans="1:6">
      <c r="A2517" s="403">
        <v>4674</v>
      </c>
      <c r="B2517" s="403">
        <v>50</v>
      </c>
      <c r="C2517" s="166">
        <v>229</v>
      </c>
      <c r="D2517" s="166">
        <v>1375</v>
      </c>
      <c r="E2517" s="166" t="s">
        <v>1104</v>
      </c>
      <c r="F2517" s="166">
        <v>971.33073694029781</v>
      </c>
    </row>
    <row r="2518" spans="1:6">
      <c r="A2518" s="403">
        <v>4676</v>
      </c>
      <c r="B2518" s="403">
        <v>50</v>
      </c>
      <c r="C2518" s="166">
        <v>229</v>
      </c>
      <c r="D2518" s="166">
        <v>1375</v>
      </c>
      <c r="E2518" s="166" t="s">
        <v>1104</v>
      </c>
      <c r="F2518" s="166">
        <v>971.33073694029781</v>
      </c>
    </row>
    <row r="2519" spans="1:6">
      <c r="A2519" s="403">
        <v>4677</v>
      </c>
      <c r="B2519" s="403">
        <v>43</v>
      </c>
      <c r="C2519" s="166">
        <v>140</v>
      </c>
      <c r="D2519" s="166">
        <v>1424</v>
      </c>
      <c r="E2519" s="166" t="s">
        <v>1104</v>
      </c>
      <c r="F2519" s="166">
        <v>1270.6823137254898</v>
      </c>
    </row>
    <row r="2520" spans="1:6">
      <c r="A2520" s="403">
        <v>4678</v>
      </c>
      <c r="B2520" s="403">
        <v>43</v>
      </c>
      <c r="C2520" s="166">
        <v>140</v>
      </c>
      <c r="D2520" s="166">
        <v>1424</v>
      </c>
      <c r="E2520" s="166" t="s">
        <v>1104</v>
      </c>
      <c r="F2520" s="166">
        <v>1270.6823137254898</v>
      </c>
    </row>
    <row r="2521" spans="1:6">
      <c r="A2521" s="403">
        <v>4680</v>
      </c>
      <c r="B2521" s="403">
        <v>43</v>
      </c>
      <c r="C2521" s="166">
        <v>140</v>
      </c>
      <c r="D2521" s="166">
        <v>1424</v>
      </c>
      <c r="E2521" s="166" t="s">
        <v>1104</v>
      </c>
      <c r="F2521" s="166">
        <v>1270.6823137254898</v>
      </c>
    </row>
    <row r="2522" spans="1:6">
      <c r="A2522" s="403">
        <v>4694</v>
      </c>
      <c r="B2522" s="403">
        <v>43</v>
      </c>
      <c r="C2522" s="166">
        <v>140</v>
      </c>
      <c r="D2522" s="166">
        <v>1424</v>
      </c>
      <c r="E2522" s="166" t="s">
        <v>1104</v>
      </c>
      <c r="F2522" s="166">
        <v>1270.6823137254898</v>
      </c>
    </row>
    <row r="2523" spans="1:6">
      <c r="A2523" s="403">
        <v>4695</v>
      </c>
      <c r="B2523" s="403">
        <v>43</v>
      </c>
      <c r="C2523" s="166">
        <v>140</v>
      </c>
      <c r="D2523" s="166">
        <v>1424</v>
      </c>
      <c r="E2523" s="166" t="s">
        <v>1104</v>
      </c>
      <c r="F2523" s="166">
        <v>1270.6823137254898</v>
      </c>
    </row>
    <row r="2524" spans="1:6">
      <c r="A2524" s="403">
        <v>4697</v>
      </c>
      <c r="B2524" s="403">
        <v>43</v>
      </c>
      <c r="C2524" s="166">
        <v>140</v>
      </c>
      <c r="D2524" s="166">
        <v>1424</v>
      </c>
      <c r="E2524" s="166" t="s">
        <v>1104</v>
      </c>
      <c r="F2524" s="166">
        <v>1270.6823137254898</v>
      </c>
    </row>
    <row r="2525" spans="1:6">
      <c r="A2525" s="403">
        <v>4699</v>
      </c>
      <c r="B2525" s="403">
        <v>43</v>
      </c>
      <c r="C2525" s="166">
        <v>140</v>
      </c>
      <c r="D2525" s="166">
        <v>1424</v>
      </c>
      <c r="E2525" s="166" t="s">
        <v>1104</v>
      </c>
      <c r="F2525" s="166">
        <v>1270.6823137254898</v>
      </c>
    </row>
    <row r="2526" spans="1:6">
      <c r="A2526" s="403">
        <v>4700</v>
      </c>
      <c r="B2526" s="403">
        <v>43</v>
      </c>
      <c r="C2526" s="166">
        <v>140</v>
      </c>
      <c r="D2526" s="166">
        <v>1424</v>
      </c>
      <c r="E2526" s="166" t="s">
        <v>1104</v>
      </c>
      <c r="F2526" s="166">
        <v>1270.6823137254898</v>
      </c>
    </row>
    <row r="2527" spans="1:6">
      <c r="A2527" s="403">
        <v>4701</v>
      </c>
      <c r="B2527" s="403">
        <v>43</v>
      </c>
      <c r="C2527" s="166">
        <v>140</v>
      </c>
      <c r="D2527" s="166">
        <v>1424</v>
      </c>
      <c r="E2527" s="166" t="s">
        <v>1104</v>
      </c>
      <c r="F2527" s="166">
        <v>1270.6823137254898</v>
      </c>
    </row>
    <row r="2528" spans="1:6">
      <c r="A2528" s="403">
        <v>4702</v>
      </c>
      <c r="B2528" s="403">
        <v>43</v>
      </c>
      <c r="C2528" s="166">
        <v>140</v>
      </c>
      <c r="D2528" s="166">
        <v>1424</v>
      </c>
      <c r="E2528" s="166" t="s">
        <v>1104</v>
      </c>
      <c r="F2528" s="166">
        <v>1270.6823137254898</v>
      </c>
    </row>
    <row r="2529" spans="1:6">
      <c r="A2529" s="403">
        <v>4703</v>
      </c>
      <c r="B2529" s="403">
        <v>43</v>
      </c>
      <c r="C2529" s="166">
        <v>140</v>
      </c>
      <c r="D2529" s="166">
        <v>1424</v>
      </c>
      <c r="E2529" s="166" t="s">
        <v>1104</v>
      </c>
      <c r="F2529" s="166">
        <v>1270.6823137254898</v>
      </c>
    </row>
    <row r="2530" spans="1:6">
      <c r="A2530" s="403">
        <v>4704</v>
      </c>
      <c r="B2530" s="403">
        <v>43</v>
      </c>
      <c r="C2530" s="166">
        <v>140</v>
      </c>
      <c r="D2530" s="166">
        <v>1424</v>
      </c>
      <c r="E2530" s="166" t="s">
        <v>1104</v>
      </c>
      <c r="F2530" s="166">
        <v>1270.6823137254898</v>
      </c>
    </row>
    <row r="2531" spans="1:6">
      <c r="A2531" s="403">
        <v>4705</v>
      </c>
      <c r="B2531" s="403">
        <v>43</v>
      </c>
      <c r="C2531" s="166">
        <v>140</v>
      </c>
      <c r="D2531" s="166">
        <v>1424</v>
      </c>
      <c r="E2531" s="166" t="s">
        <v>1104</v>
      </c>
      <c r="F2531" s="166">
        <v>1270.6823137254898</v>
      </c>
    </row>
    <row r="2532" spans="1:6">
      <c r="A2532" s="403">
        <v>4706</v>
      </c>
      <c r="B2532" s="403">
        <v>43</v>
      </c>
      <c r="C2532" s="166">
        <v>140</v>
      </c>
      <c r="D2532" s="166">
        <v>1424</v>
      </c>
      <c r="E2532" s="166" t="s">
        <v>1104</v>
      </c>
      <c r="F2532" s="166">
        <v>1270.6823137254898</v>
      </c>
    </row>
    <row r="2533" spans="1:6">
      <c r="A2533" s="403">
        <v>4707</v>
      </c>
      <c r="B2533" s="403">
        <v>43</v>
      </c>
      <c r="C2533" s="166">
        <v>140</v>
      </c>
      <c r="D2533" s="166">
        <v>1424</v>
      </c>
      <c r="E2533" s="166" t="s">
        <v>1104</v>
      </c>
      <c r="F2533" s="166">
        <v>1270.6823137254898</v>
      </c>
    </row>
    <row r="2534" spans="1:6">
      <c r="A2534" s="403">
        <v>4709</v>
      </c>
      <c r="B2534" s="403">
        <v>43</v>
      </c>
      <c r="C2534" s="166">
        <v>140</v>
      </c>
      <c r="D2534" s="166">
        <v>1424</v>
      </c>
      <c r="E2534" s="166" t="s">
        <v>1104</v>
      </c>
      <c r="F2534" s="166">
        <v>1270.6823137254898</v>
      </c>
    </row>
    <row r="2535" spans="1:6">
      <c r="A2535" s="403">
        <v>4714</v>
      </c>
      <c r="B2535" s="403">
        <v>43</v>
      </c>
      <c r="C2535" s="166">
        <v>140</v>
      </c>
      <c r="D2535" s="166">
        <v>1424</v>
      </c>
      <c r="E2535" s="166" t="s">
        <v>1104</v>
      </c>
      <c r="F2535" s="166">
        <v>1270.6823137254898</v>
      </c>
    </row>
    <row r="2536" spans="1:6">
      <c r="A2536" s="403">
        <v>4715</v>
      </c>
      <c r="B2536" s="403">
        <v>43</v>
      </c>
      <c r="C2536" s="166">
        <v>140</v>
      </c>
      <c r="D2536" s="166">
        <v>1424</v>
      </c>
      <c r="E2536" s="166" t="s">
        <v>1104</v>
      </c>
      <c r="F2536" s="166">
        <v>1270.6823137254898</v>
      </c>
    </row>
    <row r="2537" spans="1:6">
      <c r="A2537" s="403">
        <v>4716</v>
      </c>
      <c r="B2537" s="403">
        <v>43</v>
      </c>
      <c r="C2537" s="166">
        <v>140</v>
      </c>
      <c r="D2537" s="166">
        <v>1424</v>
      </c>
      <c r="E2537" s="166" t="s">
        <v>1104</v>
      </c>
      <c r="F2537" s="166">
        <v>1270.6823137254898</v>
      </c>
    </row>
    <row r="2538" spans="1:6">
      <c r="A2538" s="403">
        <v>4717</v>
      </c>
      <c r="B2538" s="403">
        <v>44</v>
      </c>
      <c r="C2538" s="166">
        <v>207</v>
      </c>
      <c r="D2538" s="166">
        <v>1143</v>
      </c>
      <c r="E2538" s="166" t="s">
        <v>1104</v>
      </c>
      <c r="F2538" s="166">
        <v>1504.2944403077693</v>
      </c>
    </row>
    <row r="2539" spans="1:6">
      <c r="A2539" s="403">
        <v>4718</v>
      </c>
      <c r="B2539" s="403">
        <v>43</v>
      </c>
      <c r="C2539" s="166">
        <v>140</v>
      </c>
      <c r="D2539" s="166">
        <v>1424</v>
      </c>
      <c r="E2539" s="166" t="s">
        <v>1104</v>
      </c>
      <c r="F2539" s="166">
        <v>1270.6823137254898</v>
      </c>
    </row>
    <row r="2540" spans="1:6">
      <c r="A2540" s="403">
        <v>4719</v>
      </c>
      <c r="B2540" s="403">
        <v>43</v>
      </c>
      <c r="C2540" s="166">
        <v>140</v>
      </c>
      <c r="D2540" s="166">
        <v>1424</v>
      </c>
      <c r="E2540" s="166" t="s">
        <v>1104</v>
      </c>
      <c r="F2540" s="166">
        <v>1270.6823137254898</v>
      </c>
    </row>
    <row r="2541" spans="1:6">
      <c r="A2541" s="403">
        <v>4720</v>
      </c>
      <c r="B2541" s="403">
        <v>44</v>
      </c>
      <c r="C2541" s="166">
        <v>207</v>
      </c>
      <c r="D2541" s="166">
        <v>1143</v>
      </c>
      <c r="E2541" s="166" t="s">
        <v>1104</v>
      </c>
      <c r="F2541" s="166">
        <v>1504.2944403077693</v>
      </c>
    </row>
    <row r="2542" spans="1:6">
      <c r="A2542" s="403">
        <v>4721</v>
      </c>
      <c r="B2542" s="403">
        <v>44</v>
      </c>
      <c r="C2542" s="166">
        <v>207</v>
      </c>
      <c r="D2542" s="166">
        <v>1143</v>
      </c>
      <c r="E2542" s="166" t="s">
        <v>1104</v>
      </c>
      <c r="F2542" s="166">
        <v>1504.2944403077693</v>
      </c>
    </row>
    <row r="2543" spans="1:6">
      <c r="A2543" s="403">
        <v>4722</v>
      </c>
      <c r="B2543" s="403">
        <v>44</v>
      </c>
      <c r="C2543" s="166">
        <v>207</v>
      </c>
      <c r="D2543" s="166">
        <v>1143</v>
      </c>
      <c r="E2543" s="166" t="s">
        <v>1104</v>
      </c>
      <c r="F2543" s="166">
        <v>1504.2944403077693</v>
      </c>
    </row>
    <row r="2544" spans="1:6">
      <c r="A2544" s="403">
        <v>4724</v>
      </c>
      <c r="B2544" s="403">
        <v>45</v>
      </c>
      <c r="C2544" s="166">
        <v>255</v>
      </c>
      <c r="D2544" s="166">
        <v>1024</v>
      </c>
      <c r="E2544" s="166" t="s">
        <v>1104</v>
      </c>
      <c r="F2544" s="166">
        <v>2543.9757462686557</v>
      </c>
    </row>
    <row r="2545" spans="1:6">
      <c r="A2545" s="403">
        <v>4725</v>
      </c>
      <c r="B2545" s="403">
        <v>45</v>
      </c>
      <c r="C2545" s="166">
        <v>255</v>
      </c>
      <c r="D2545" s="166">
        <v>1024</v>
      </c>
      <c r="E2545" s="166" t="s">
        <v>1104</v>
      </c>
      <c r="F2545" s="166">
        <v>2543.9757462686557</v>
      </c>
    </row>
    <row r="2546" spans="1:6">
      <c r="A2546" s="403">
        <v>4726</v>
      </c>
      <c r="B2546" s="403">
        <v>45</v>
      </c>
      <c r="C2546" s="166">
        <v>255</v>
      </c>
      <c r="D2546" s="166">
        <v>1024</v>
      </c>
      <c r="E2546" s="166" t="s">
        <v>1104</v>
      </c>
      <c r="F2546" s="166">
        <v>2543.9757462686557</v>
      </c>
    </row>
    <row r="2547" spans="1:6">
      <c r="A2547" s="403">
        <v>4727</v>
      </c>
      <c r="B2547" s="403">
        <v>45</v>
      </c>
      <c r="C2547" s="166">
        <v>255</v>
      </c>
      <c r="D2547" s="166">
        <v>1024</v>
      </c>
      <c r="E2547" s="166" t="s">
        <v>1104</v>
      </c>
      <c r="F2547" s="166">
        <v>2543.9757462686557</v>
      </c>
    </row>
    <row r="2548" spans="1:6">
      <c r="A2548" s="403">
        <v>4730</v>
      </c>
      <c r="B2548" s="403">
        <v>45</v>
      </c>
      <c r="C2548" s="166">
        <v>255</v>
      </c>
      <c r="D2548" s="166">
        <v>1024</v>
      </c>
      <c r="E2548" s="166" t="s">
        <v>1104</v>
      </c>
      <c r="F2548" s="166">
        <v>2543.9757462686557</v>
      </c>
    </row>
    <row r="2549" spans="1:6">
      <c r="A2549" s="403">
        <v>4731</v>
      </c>
      <c r="B2549" s="403">
        <v>45</v>
      </c>
      <c r="C2549" s="166">
        <v>255</v>
      </c>
      <c r="D2549" s="166">
        <v>1024</v>
      </c>
      <c r="E2549" s="166" t="s">
        <v>1104</v>
      </c>
      <c r="F2549" s="166">
        <v>2543.9757462686557</v>
      </c>
    </row>
    <row r="2550" spans="1:6">
      <c r="A2550" s="403">
        <v>4732</v>
      </c>
      <c r="B2550" s="403">
        <v>45</v>
      </c>
      <c r="C2550" s="166">
        <v>255</v>
      </c>
      <c r="D2550" s="166">
        <v>1024</v>
      </c>
      <c r="E2550" s="166" t="s">
        <v>1104</v>
      </c>
      <c r="F2550" s="166">
        <v>2543.9757462686557</v>
      </c>
    </row>
    <row r="2551" spans="1:6">
      <c r="A2551" s="403">
        <v>4733</v>
      </c>
      <c r="B2551" s="403">
        <v>45</v>
      </c>
      <c r="C2551" s="166">
        <v>255</v>
      </c>
      <c r="D2551" s="166">
        <v>1024</v>
      </c>
      <c r="E2551" s="166" t="s">
        <v>1104</v>
      </c>
      <c r="F2551" s="166">
        <v>2543.9757462686557</v>
      </c>
    </row>
    <row r="2552" spans="1:6">
      <c r="A2552" s="403">
        <v>4735</v>
      </c>
      <c r="B2552" s="403">
        <v>45</v>
      </c>
      <c r="C2552" s="166">
        <v>255</v>
      </c>
      <c r="D2552" s="166">
        <v>1024</v>
      </c>
      <c r="E2552" s="166" t="s">
        <v>1104</v>
      </c>
      <c r="F2552" s="166">
        <v>2543.9757462686557</v>
      </c>
    </row>
    <row r="2553" spans="1:6">
      <c r="A2553" s="403">
        <v>4736</v>
      </c>
      <c r="B2553" s="403">
        <v>47</v>
      </c>
      <c r="C2553" s="166">
        <v>380</v>
      </c>
      <c r="D2553" s="166">
        <v>820</v>
      </c>
      <c r="E2553" s="166" t="s">
        <v>1104</v>
      </c>
      <c r="F2553" s="166">
        <v>3027.2669841269849</v>
      </c>
    </row>
    <row r="2554" spans="1:6">
      <c r="A2554" s="403">
        <v>4737</v>
      </c>
      <c r="B2554" s="403">
        <v>42</v>
      </c>
      <c r="C2554" s="166">
        <v>98</v>
      </c>
      <c r="D2554" s="166">
        <v>1950</v>
      </c>
      <c r="E2554" s="166" t="s">
        <v>1104</v>
      </c>
      <c r="F2554" s="166">
        <v>467.57103247549094</v>
      </c>
    </row>
    <row r="2555" spans="1:6">
      <c r="A2555" s="403">
        <v>4738</v>
      </c>
      <c r="B2555" s="403">
        <v>42</v>
      </c>
      <c r="C2555" s="166">
        <v>98</v>
      </c>
      <c r="D2555" s="166">
        <v>1950</v>
      </c>
      <c r="E2555" s="166" t="s">
        <v>1104</v>
      </c>
      <c r="F2555" s="166">
        <v>467.57103247549094</v>
      </c>
    </row>
    <row r="2556" spans="1:6">
      <c r="A2556" s="403">
        <v>4739</v>
      </c>
      <c r="B2556" s="403">
        <v>42</v>
      </c>
      <c r="C2556" s="166">
        <v>98</v>
      </c>
      <c r="D2556" s="166">
        <v>1950</v>
      </c>
      <c r="E2556" s="166" t="s">
        <v>1104</v>
      </c>
      <c r="F2556" s="166">
        <v>467.57103247549094</v>
      </c>
    </row>
    <row r="2557" spans="1:6">
      <c r="A2557" s="403">
        <v>4740</v>
      </c>
      <c r="B2557" s="403">
        <v>42</v>
      </c>
      <c r="C2557" s="166">
        <v>98</v>
      </c>
      <c r="D2557" s="166">
        <v>1950</v>
      </c>
      <c r="E2557" s="166" t="s">
        <v>1104</v>
      </c>
      <c r="F2557" s="166">
        <v>467.57103247549094</v>
      </c>
    </row>
    <row r="2558" spans="1:6">
      <c r="A2558" s="403">
        <v>4741</v>
      </c>
      <c r="B2558" s="403">
        <v>42</v>
      </c>
      <c r="C2558" s="166">
        <v>98</v>
      </c>
      <c r="D2558" s="166">
        <v>1950</v>
      </c>
      <c r="E2558" s="166" t="s">
        <v>1104</v>
      </c>
      <c r="F2558" s="166">
        <v>467.57103247549094</v>
      </c>
    </row>
    <row r="2559" spans="1:6">
      <c r="A2559" s="403">
        <v>4742</v>
      </c>
      <c r="B2559" s="403">
        <v>42</v>
      </c>
      <c r="C2559" s="166">
        <v>98</v>
      </c>
      <c r="D2559" s="166">
        <v>1950</v>
      </c>
      <c r="E2559" s="166" t="s">
        <v>1104</v>
      </c>
      <c r="F2559" s="166">
        <v>467.57103247549094</v>
      </c>
    </row>
    <row r="2560" spans="1:6">
      <c r="A2560" s="403">
        <v>4743</v>
      </c>
      <c r="B2560" s="403">
        <v>42</v>
      </c>
      <c r="C2560" s="166">
        <v>98</v>
      </c>
      <c r="D2560" s="166">
        <v>1950</v>
      </c>
      <c r="E2560" s="166" t="s">
        <v>1104</v>
      </c>
      <c r="F2560" s="166">
        <v>467.57103247549094</v>
      </c>
    </row>
    <row r="2561" spans="1:6">
      <c r="A2561" s="403">
        <v>4744</v>
      </c>
      <c r="B2561" s="403">
        <v>44</v>
      </c>
      <c r="C2561" s="166">
        <v>207</v>
      </c>
      <c r="D2561" s="166">
        <v>1143</v>
      </c>
      <c r="E2561" s="166" t="s">
        <v>1104</v>
      </c>
      <c r="F2561" s="166">
        <v>1504.2944403077693</v>
      </c>
    </row>
    <row r="2562" spans="1:6">
      <c r="A2562" s="403">
        <v>4745</v>
      </c>
      <c r="B2562" s="403">
        <v>44</v>
      </c>
      <c r="C2562" s="166">
        <v>207</v>
      </c>
      <c r="D2562" s="166">
        <v>1143</v>
      </c>
      <c r="E2562" s="166" t="s">
        <v>1104</v>
      </c>
      <c r="F2562" s="166">
        <v>1504.2944403077693</v>
      </c>
    </row>
    <row r="2563" spans="1:6">
      <c r="A2563" s="403">
        <v>4746</v>
      </c>
      <c r="B2563" s="403">
        <v>44</v>
      </c>
      <c r="C2563" s="166">
        <v>207</v>
      </c>
      <c r="D2563" s="166">
        <v>1143</v>
      </c>
      <c r="E2563" s="166" t="s">
        <v>1104</v>
      </c>
      <c r="F2563" s="166">
        <v>1504.2944403077693</v>
      </c>
    </row>
    <row r="2564" spans="1:6">
      <c r="A2564" s="403">
        <v>4750</v>
      </c>
      <c r="B2564" s="403">
        <v>44</v>
      </c>
      <c r="C2564" s="166">
        <v>207</v>
      </c>
      <c r="D2564" s="166">
        <v>1143</v>
      </c>
      <c r="E2564" s="166" t="s">
        <v>1104</v>
      </c>
      <c r="F2564" s="166">
        <v>1504.2944403077693</v>
      </c>
    </row>
    <row r="2565" spans="1:6">
      <c r="A2565" s="403">
        <v>4751</v>
      </c>
      <c r="B2565" s="403">
        <v>42</v>
      </c>
      <c r="C2565" s="166">
        <v>98</v>
      </c>
      <c r="D2565" s="166">
        <v>1950</v>
      </c>
      <c r="E2565" s="166" t="s">
        <v>1104</v>
      </c>
      <c r="F2565" s="166">
        <v>467.57103247549094</v>
      </c>
    </row>
    <row r="2566" spans="1:6">
      <c r="A2566" s="403">
        <v>4753</v>
      </c>
      <c r="B2566" s="403">
        <v>42</v>
      </c>
      <c r="C2566" s="166">
        <v>98</v>
      </c>
      <c r="D2566" s="166">
        <v>1950</v>
      </c>
      <c r="E2566" s="166" t="s">
        <v>1104</v>
      </c>
      <c r="F2566" s="166">
        <v>467.57103247549094</v>
      </c>
    </row>
    <row r="2567" spans="1:6">
      <c r="A2567" s="403">
        <v>4754</v>
      </c>
      <c r="B2567" s="403">
        <v>42</v>
      </c>
      <c r="C2567" s="166">
        <v>98</v>
      </c>
      <c r="D2567" s="166">
        <v>1950</v>
      </c>
      <c r="E2567" s="166" t="s">
        <v>1104</v>
      </c>
      <c r="F2567" s="166">
        <v>467.57103247549094</v>
      </c>
    </row>
    <row r="2568" spans="1:6">
      <c r="A2568" s="403">
        <v>4756</v>
      </c>
      <c r="B2568" s="403">
        <v>42</v>
      </c>
      <c r="C2568" s="166">
        <v>98</v>
      </c>
      <c r="D2568" s="166">
        <v>1950</v>
      </c>
      <c r="E2568" s="166" t="s">
        <v>1104</v>
      </c>
      <c r="F2568" s="166">
        <v>467.57103247549094</v>
      </c>
    </row>
    <row r="2569" spans="1:6">
      <c r="A2569" s="403">
        <v>4757</v>
      </c>
      <c r="B2569" s="403">
        <v>42</v>
      </c>
      <c r="C2569" s="166">
        <v>98</v>
      </c>
      <c r="D2569" s="166">
        <v>1950</v>
      </c>
      <c r="E2569" s="166" t="s">
        <v>1104</v>
      </c>
      <c r="F2569" s="166">
        <v>467.57103247549094</v>
      </c>
    </row>
    <row r="2570" spans="1:6">
      <c r="A2570" s="403">
        <v>4798</v>
      </c>
      <c r="B2570" s="403">
        <v>42</v>
      </c>
      <c r="C2570" s="166">
        <v>98</v>
      </c>
      <c r="D2570" s="166">
        <v>1950</v>
      </c>
      <c r="E2570" s="166" t="s">
        <v>1104</v>
      </c>
      <c r="F2570" s="166">
        <v>467.57103247549094</v>
      </c>
    </row>
    <row r="2571" spans="1:6">
      <c r="A2571" s="403">
        <v>4799</v>
      </c>
      <c r="B2571" s="403">
        <v>42</v>
      </c>
      <c r="C2571" s="166">
        <v>98</v>
      </c>
      <c r="D2571" s="166">
        <v>1950</v>
      </c>
      <c r="E2571" s="166" t="s">
        <v>1104</v>
      </c>
      <c r="F2571" s="166">
        <v>467.57103247549094</v>
      </c>
    </row>
    <row r="2572" spans="1:6">
      <c r="A2572" s="403">
        <v>4800</v>
      </c>
      <c r="B2572" s="403">
        <v>42</v>
      </c>
      <c r="C2572" s="166">
        <v>98</v>
      </c>
      <c r="D2572" s="166">
        <v>1950</v>
      </c>
      <c r="E2572" s="166" t="s">
        <v>1104</v>
      </c>
      <c r="F2572" s="166">
        <v>467.57103247549094</v>
      </c>
    </row>
    <row r="2573" spans="1:6">
      <c r="A2573" s="403">
        <v>4801</v>
      </c>
      <c r="B2573" s="403">
        <v>42</v>
      </c>
      <c r="C2573" s="166">
        <v>98</v>
      </c>
      <c r="D2573" s="166">
        <v>1950</v>
      </c>
      <c r="E2573" s="166" t="s">
        <v>1104</v>
      </c>
      <c r="F2573" s="166">
        <v>467.57103247549094</v>
      </c>
    </row>
    <row r="2574" spans="1:6">
      <c r="A2574" s="403">
        <v>4802</v>
      </c>
      <c r="B2574" s="403">
        <v>42</v>
      </c>
      <c r="C2574" s="166">
        <v>98</v>
      </c>
      <c r="D2574" s="166">
        <v>1950</v>
      </c>
      <c r="E2574" s="166" t="s">
        <v>1104</v>
      </c>
      <c r="F2574" s="166">
        <v>467.57103247549094</v>
      </c>
    </row>
    <row r="2575" spans="1:6">
      <c r="A2575" s="403">
        <v>4803</v>
      </c>
      <c r="B2575" s="403">
        <v>42</v>
      </c>
      <c r="C2575" s="166">
        <v>98</v>
      </c>
      <c r="D2575" s="166">
        <v>1950</v>
      </c>
      <c r="E2575" s="166" t="s">
        <v>1104</v>
      </c>
      <c r="F2575" s="166">
        <v>467.57103247549094</v>
      </c>
    </row>
    <row r="2576" spans="1:6">
      <c r="A2576" s="403">
        <v>4804</v>
      </c>
      <c r="B2576" s="403">
        <v>42</v>
      </c>
      <c r="C2576" s="166">
        <v>98</v>
      </c>
      <c r="D2576" s="166">
        <v>1950</v>
      </c>
      <c r="E2576" s="166" t="s">
        <v>1104</v>
      </c>
      <c r="F2576" s="166">
        <v>467.57103247549094</v>
      </c>
    </row>
    <row r="2577" spans="1:6">
      <c r="A2577" s="403">
        <v>4805</v>
      </c>
      <c r="B2577" s="403">
        <v>42</v>
      </c>
      <c r="C2577" s="166">
        <v>98</v>
      </c>
      <c r="D2577" s="166">
        <v>1950</v>
      </c>
      <c r="E2577" s="166" t="s">
        <v>1104</v>
      </c>
      <c r="F2577" s="166">
        <v>467.57103247549094</v>
      </c>
    </row>
    <row r="2578" spans="1:6">
      <c r="A2578" s="403">
        <v>4806</v>
      </c>
      <c r="B2578" s="403">
        <v>41</v>
      </c>
      <c r="C2578" s="166">
        <v>17</v>
      </c>
      <c r="D2578" s="166">
        <v>2429</v>
      </c>
      <c r="E2578" s="166" t="s">
        <v>1104</v>
      </c>
      <c r="F2578" s="166">
        <v>1401.0368206521732</v>
      </c>
    </row>
    <row r="2579" spans="1:6">
      <c r="A2579" s="403">
        <v>4807</v>
      </c>
      <c r="B2579" s="403">
        <v>41</v>
      </c>
      <c r="C2579" s="166">
        <v>17</v>
      </c>
      <c r="D2579" s="166">
        <v>2429</v>
      </c>
      <c r="E2579" s="166" t="s">
        <v>1104</v>
      </c>
      <c r="F2579" s="166">
        <v>1401.0368206521732</v>
      </c>
    </row>
    <row r="2580" spans="1:6">
      <c r="A2580" s="403">
        <v>4808</v>
      </c>
      <c r="B2580" s="403">
        <v>41</v>
      </c>
      <c r="C2580" s="166">
        <v>17</v>
      </c>
      <c r="D2580" s="166">
        <v>2429</v>
      </c>
      <c r="E2580" s="166" t="s">
        <v>1104</v>
      </c>
      <c r="F2580" s="166">
        <v>1401.0368206521732</v>
      </c>
    </row>
    <row r="2581" spans="1:6">
      <c r="A2581" s="403">
        <v>4809</v>
      </c>
      <c r="B2581" s="403">
        <v>41</v>
      </c>
      <c r="C2581" s="166">
        <v>17</v>
      </c>
      <c r="D2581" s="166">
        <v>2429</v>
      </c>
      <c r="E2581" s="166" t="s">
        <v>1104</v>
      </c>
      <c r="F2581" s="166">
        <v>1401.0368206521732</v>
      </c>
    </row>
    <row r="2582" spans="1:6">
      <c r="A2582" s="403">
        <v>4810</v>
      </c>
      <c r="B2582" s="403">
        <v>41</v>
      </c>
      <c r="C2582" s="166">
        <v>17</v>
      </c>
      <c r="D2582" s="166">
        <v>2429</v>
      </c>
      <c r="E2582" s="166" t="s">
        <v>1104</v>
      </c>
      <c r="F2582" s="166">
        <v>1401.0368206521732</v>
      </c>
    </row>
    <row r="2583" spans="1:6">
      <c r="A2583" s="403">
        <v>4811</v>
      </c>
      <c r="B2583" s="403">
        <v>41</v>
      </c>
      <c r="C2583" s="166">
        <v>17</v>
      </c>
      <c r="D2583" s="166">
        <v>2429</v>
      </c>
      <c r="E2583" s="166" t="s">
        <v>1104</v>
      </c>
      <c r="F2583" s="166">
        <v>1401.0368206521732</v>
      </c>
    </row>
    <row r="2584" spans="1:6">
      <c r="A2584" s="403">
        <v>4812</v>
      </c>
      <c r="B2584" s="403">
        <v>41</v>
      </c>
      <c r="C2584" s="166">
        <v>17</v>
      </c>
      <c r="D2584" s="166">
        <v>2429</v>
      </c>
      <c r="E2584" s="166" t="s">
        <v>1104</v>
      </c>
      <c r="F2584" s="166">
        <v>1401.0368206521732</v>
      </c>
    </row>
    <row r="2585" spans="1:6">
      <c r="A2585" s="403">
        <v>4813</v>
      </c>
      <c r="B2585" s="403">
        <v>41</v>
      </c>
      <c r="C2585" s="166">
        <v>17</v>
      </c>
      <c r="D2585" s="166">
        <v>2429</v>
      </c>
      <c r="E2585" s="166" t="s">
        <v>1104</v>
      </c>
      <c r="F2585" s="166">
        <v>1401.0368206521732</v>
      </c>
    </row>
    <row r="2586" spans="1:6">
      <c r="A2586" s="403">
        <v>4814</v>
      </c>
      <c r="B2586" s="403">
        <v>41</v>
      </c>
      <c r="C2586" s="166">
        <v>17</v>
      </c>
      <c r="D2586" s="166">
        <v>2429</v>
      </c>
      <c r="E2586" s="166" t="s">
        <v>1104</v>
      </c>
      <c r="F2586" s="166">
        <v>1401.0368206521732</v>
      </c>
    </row>
    <row r="2587" spans="1:6">
      <c r="A2587" s="403">
        <v>4815</v>
      </c>
      <c r="B2587" s="403">
        <v>41</v>
      </c>
      <c r="C2587" s="166">
        <v>17</v>
      </c>
      <c r="D2587" s="166">
        <v>2429</v>
      </c>
      <c r="E2587" s="166" t="s">
        <v>1104</v>
      </c>
      <c r="F2587" s="166">
        <v>1401.0368206521732</v>
      </c>
    </row>
    <row r="2588" spans="1:6">
      <c r="A2588" s="403">
        <v>4816</v>
      </c>
      <c r="B2588" s="403">
        <v>41</v>
      </c>
      <c r="C2588" s="166">
        <v>17</v>
      </c>
      <c r="D2588" s="166">
        <v>2429</v>
      </c>
      <c r="E2588" s="166" t="s">
        <v>1104</v>
      </c>
      <c r="F2588" s="166">
        <v>1401.0368206521732</v>
      </c>
    </row>
    <row r="2589" spans="1:6">
      <c r="A2589" s="403">
        <v>4817</v>
      </c>
      <c r="B2589" s="403">
        <v>41</v>
      </c>
      <c r="C2589" s="166">
        <v>17</v>
      </c>
      <c r="D2589" s="166">
        <v>2429</v>
      </c>
      <c r="E2589" s="166" t="s">
        <v>1104</v>
      </c>
      <c r="F2589" s="166">
        <v>1401.0368206521732</v>
      </c>
    </row>
    <row r="2590" spans="1:6">
      <c r="A2590" s="403">
        <v>4818</v>
      </c>
      <c r="B2590" s="403">
        <v>41</v>
      </c>
      <c r="C2590" s="166">
        <v>17</v>
      </c>
      <c r="D2590" s="166">
        <v>2429</v>
      </c>
      <c r="E2590" s="166" t="s">
        <v>1104</v>
      </c>
      <c r="F2590" s="166">
        <v>1401.0368206521732</v>
      </c>
    </row>
    <row r="2591" spans="1:6">
      <c r="A2591" s="403">
        <v>4819</v>
      </c>
      <c r="B2591" s="403">
        <v>41</v>
      </c>
      <c r="C2591" s="166">
        <v>17</v>
      </c>
      <c r="D2591" s="166">
        <v>2429</v>
      </c>
      <c r="E2591" s="166" t="s">
        <v>1104</v>
      </c>
      <c r="F2591" s="166">
        <v>1401.0368206521732</v>
      </c>
    </row>
    <row r="2592" spans="1:6">
      <c r="A2592" s="403">
        <v>4820</v>
      </c>
      <c r="B2592" s="403">
        <v>38</v>
      </c>
      <c r="C2592" s="166">
        <v>52</v>
      </c>
      <c r="D2592" s="166">
        <v>1470</v>
      </c>
      <c r="E2592" s="166" t="s">
        <v>1104</v>
      </c>
      <c r="F2592" s="166">
        <v>1401.0368206521739</v>
      </c>
    </row>
    <row r="2593" spans="1:6">
      <c r="A2593" s="403">
        <v>4821</v>
      </c>
      <c r="B2593" s="403">
        <v>38</v>
      </c>
      <c r="C2593" s="166">
        <v>52</v>
      </c>
      <c r="D2593" s="166">
        <v>1470</v>
      </c>
      <c r="E2593" s="166" t="s">
        <v>1104</v>
      </c>
      <c r="F2593" s="166">
        <v>1401.0368206521739</v>
      </c>
    </row>
    <row r="2594" spans="1:6">
      <c r="A2594" s="403">
        <v>4822</v>
      </c>
      <c r="B2594" s="403">
        <v>38</v>
      </c>
      <c r="C2594" s="166">
        <v>52</v>
      </c>
      <c r="D2594" s="166">
        <v>1470</v>
      </c>
      <c r="E2594" s="166" t="s">
        <v>1104</v>
      </c>
      <c r="F2594" s="166">
        <v>1401.0368206521739</v>
      </c>
    </row>
    <row r="2595" spans="1:6">
      <c r="A2595" s="403">
        <v>4823</v>
      </c>
      <c r="B2595" s="403">
        <v>46</v>
      </c>
      <c r="C2595" s="166">
        <v>137</v>
      </c>
      <c r="D2595" s="166">
        <v>955</v>
      </c>
      <c r="E2595" s="166" t="s">
        <v>1104</v>
      </c>
      <c r="F2595" s="166">
        <v>1548.9868079289131</v>
      </c>
    </row>
    <row r="2596" spans="1:6">
      <c r="A2596" s="403">
        <v>4824</v>
      </c>
      <c r="B2596" s="403">
        <v>46</v>
      </c>
      <c r="C2596" s="166">
        <v>137</v>
      </c>
      <c r="D2596" s="166">
        <v>955</v>
      </c>
      <c r="E2596" s="166" t="s">
        <v>1104</v>
      </c>
      <c r="F2596" s="166">
        <v>1548.9868079289131</v>
      </c>
    </row>
    <row r="2597" spans="1:6">
      <c r="A2597" s="403">
        <v>4825</v>
      </c>
      <c r="B2597" s="403">
        <v>46</v>
      </c>
      <c r="C2597" s="166">
        <v>137</v>
      </c>
      <c r="D2597" s="166">
        <v>955</v>
      </c>
      <c r="E2597" s="166" t="s">
        <v>1104</v>
      </c>
      <c r="F2597" s="166">
        <v>1548.9868079289131</v>
      </c>
    </row>
    <row r="2598" spans="1:6">
      <c r="A2598" s="403">
        <v>4828</v>
      </c>
      <c r="B2598" s="403">
        <v>46</v>
      </c>
      <c r="C2598" s="166">
        <v>137</v>
      </c>
      <c r="D2598" s="166">
        <v>955</v>
      </c>
      <c r="E2598" s="166" t="s">
        <v>1104</v>
      </c>
      <c r="F2598" s="166">
        <v>1548.9868079289131</v>
      </c>
    </row>
    <row r="2599" spans="1:6">
      <c r="A2599" s="403">
        <v>4829</v>
      </c>
      <c r="B2599" s="403">
        <v>47</v>
      </c>
      <c r="C2599" s="166">
        <v>380</v>
      </c>
      <c r="D2599" s="166">
        <v>820</v>
      </c>
      <c r="E2599" s="166" t="s">
        <v>1104</v>
      </c>
      <c r="F2599" s="166">
        <v>3027.2669841269849</v>
      </c>
    </row>
    <row r="2600" spans="1:6">
      <c r="A2600" s="403">
        <v>4830</v>
      </c>
      <c r="B2600" s="403">
        <v>46</v>
      </c>
      <c r="C2600" s="166">
        <v>137</v>
      </c>
      <c r="D2600" s="166">
        <v>955</v>
      </c>
      <c r="E2600" s="166" t="s">
        <v>1104</v>
      </c>
      <c r="F2600" s="166">
        <v>1548.9868079289131</v>
      </c>
    </row>
    <row r="2601" spans="1:6">
      <c r="A2601" s="403">
        <v>4849</v>
      </c>
      <c r="B2601" s="403">
        <v>39</v>
      </c>
      <c r="C2601" s="166">
        <v>4</v>
      </c>
      <c r="D2601" s="166">
        <v>2211</v>
      </c>
      <c r="E2601" s="166" t="s">
        <v>1104</v>
      </c>
      <c r="F2601" s="166">
        <v>226.53842543204519</v>
      </c>
    </row>
    <row r="2602" spans="1:6">
      <c r="A2602" s="403">
        <v>4850</v>
      </c>
      <c r="B2602" s="403">
        <v>39</v>
      </c>
      <c r="C2602" s="166">
        <v>4</v>
      </c>
      <c r="D2602" s="166">
        <v>2211</v>
      </c>
      <c r="E2602" s="166" t="s">
        <v>1104</v>
      </c>
      <c r="F2602" s="166">
        <v>226.53842543204519</v>
      </c>
    </row>
    <row r="2603" spans="1:6">
      <c r="A2603" s="403">
        <v>4852</v>
      </c>
      <c r="B2603" s="403">
        <v>39</v>
      </c>
      <c r="C2603" s="166">
        <v>4</v>
      </c>
      <c r="D2603" s="166">
        <v>2211</v>
      </c>
      <c r="E2603" s="166" t="s">
        <v>1104</v>
      </c>
      <c r="F2603" s="166">
        <v>226.53842543204519</v>
      </c>
    </row>
    <row r="2604" spans="1:6">
      <c r="A2604" s="403">
        <v>4854</v>
      </c>
      <c r="B2604" s="403">
        <v>39</v>
      </c>
      <c r="C2604" s="166">
        <v>4</v>
      </c>
      <c r="D2604" s="166">
        <v>2211</v>
      </c>
      <c r="E2604" s="166" t="s">
        <v>1104</v>
      </c>
      <c r="F2604" s="166">
        <v>226.53842543204519</v>
      </c>
    </row>
    <row r="2605" spans="1:6">
      <c r="A2605" s="403">
        <v>4855</v>
      </c>
      <c r="B2605" s="403">
        <v>39</v>
      </c>
      <c r="C2605" s="166">
        <v>4</v>
      </c>
      <c r="D2605" s="166">
        <v>2211</v>
      </c>
      <c r="E2605" s="166" t="s">
        <v>1104</v>
      </c>
      <c r="F2605" s="166">
        <v>226.53842543204519</v>
      </c>
    </row>
    <row r="2606" spans="1:6">
      <c r="A2606" s="403">
        <v>4856</v>
      </c>
      <c r="B2606" s="403">
        <v>39</v>
      </c>
      <c r="C2606" s="166">
        <v>4</v>
      </c>
      <c r="D2606" s="166">
        <v>2211</v>
      </c>
      <c r="E2606" s="166" t="s">
        <v>1104</v>
      </c>
      <c r="F2606" s="166">
        <v>226.53842543204519</v>
      </c>
    </row>
    <row r="2607" spans="1:6">
      <c r="A2607" s="403">
        <v>4857</v>
      </c>
      <c r="B2607" s="403">
        <v>39</v>
      </c>
      <c r="C2607" s="166">
        <v>4</v>
      </c>
      <c r="D2607" s="166">
        <v>2211</v>
      </c>
      <c r="E2607" s="166" t="s">
        <v>1104</v>
      </c>
      <c r="F2607" s="166">
        <v>226.53842543204519</v>
      </c>
    </row>
    <row r="2608" spans="1:6">
      <c r="A2608" s="403">
        <v>4858</v>
      </c>
      <c r="B2608" s="403">
        <v>39</v>
      </c>
      <c r="C2608" s="166">
        <v>4</v>
      </c>
      <c r="D2608" s="166">
        <v>2211</v>
      </c>
      <c r="E2608" s="166" t="s">
        <v>1104</v>
      </c>
      <c r="F2608" s="166">
        <v>226.53842543204519</v>
      </c>
    </row>
    <row r="2609" spans="1:6">
      <c r="A2609" s="403">
        <v>4859</v>
      </c>
      <c r="B2609" s="403">
        <v>39</v>
      </c>
      <c r="C2609" s="166">
        <v>4</v>
      </c>
      <c r="D2609" s="166">
        <v>2211</v>
      </c>
      <c r="E2609" s="166" t="s">
        <v>1104</v>
      </c>
      <c r="F2609" s="166">
        <v>226.53842543204519</v>
      </c>
    </row>
    <row r="2610" spans="1:6">
      <c r="A2610" s="403">
        <v>4860</v>
      </c>
      <c r="B2610" s="403">
        <v>39</v>
      </c>
      <c r="C2610" s="166">
        <v>4</v>
      </c>
      <c r="D2610" s="166">
        <v>2211</v>
      </c>
      <c r="E2610" s="166" t="s">
        <v>1104</v>
      </c>
      <c r="F2610" s="166">
        <v>226.53842543204519</v>
      </c>
    </row>
    <row r="2611" spans="1:6">
      <c r="A2611" s="403">
        <v>4861</v>
      </c>
      <c r="B2611" s="403">
        <v>39</v>
      </c>
      <c r="C2611" s="166">
        <v>4</v>
      </c>
      <c r="D2611" s="166">
        <v>2211</v>
      </c>
      <c r="E2611" s="166" t="s">
        <v>1104</v>
      </c>
      <c r="F2611" s="166">
        <v>226.53842543204519</v>
      </c>
    </row>
    <row r="2612" spans="1:6">
      <c r="A2612" s="403">
        <v>4865</v>
      </c>
      <c r="B2612" s="403">
        <v>39</v>
      </c>
      <c r="C2612" s="166">
        <v>4</v>
      </c>
      <c r="D2612" s="166">
        <v>2211</v>
      </c>
      <c r="E2612" s="166" t="s">
        <v>1104</v>
      </c>
      <c r="F2612" s="166">
        <v>226.53842543204519</v>
      </c>
    </row>
    <row r="2613" spans="1:6">
      <c r="A2613" s="403">
        <v>4868</v>
      </c>
      <c r="B2613" s="403">
        <v>39</v>
      </c>
      <c r="C2613" s="166">
        <v>4</v>
      </c>
      <c r="D2613" s="166">
        <v>2211</v>
      </c>
      <c r="E2613" s="166" t="s">
        <v>1104</v>
      </c>
      <c r="F2613" s="166">
        <v>226.53842543204519</v>
      </c>
    </row>
    <row r="2614" spans="1:6">
      <c r="A2614" s="403">
        <v>4869</v>
      </c>
      <c r="B2614" s="403">
        <v>39</v>
      </c>
      <c r="C2614" s="166">
        <v>4</v>
      </c>
      <c r="D2614" s="166">
        <v>2211</v>
      </c>
      <c r="E2614" s="166" t="s">
        <v>1104</v>
      </c>
      <c r="F2614" s="166">
        <v>226.53842543204519</v>
      </c>
    </row>
    <row r="2615" spans="1:6">
      <c r="A2615" s="403">
        <v>4870</v>
      </c>
      <c r="B2615" s="403">
        <v>39</v>
      </c>
      <c r="C2615" s="166">
        <v>4</v>
      </c>
      <c r="D2615" s="166">
        <v>2211</v>
      </c>
      <c r="E2615" s="166" t="s">
        <v>1104</v>
      </c>
      <c r="F2615" s="166">
        <v>226.53842543204519</v>
      </c>
    </row>
    <row r="2616" spans="1:6">
      <c r="A2616" s="403">
        <v>4871</v>
      </c>
      <c r="B2616" s="403">
        <v>39</v>
      </c>
      <c r="C2616" s="166">
        <v>4</v>
      </c>
      <c r="D2616" s="166">
        <v>2211</v>
      </c>
      <c r="E2616" s="166" t="s">
        <v>1104</v>
      </c>
      <c r="F2616" s="166">
        <v>226.53842543204519</v>
      </c>
    </row>
    <row r="2617" spans="1:6">
      <c r="A2617" s="403">
        <v>4872</v>
      </c>
      <c r="B2617" s="403">
        <v>39</v>
      </c>
      <c r="C2617" s="166">
        <v>4</v>
      </c>
      <c r="D2617" s="166">
        <v>2211</v>
      </c>
      <c r="E2617" s="166" t="s">
        <v>1104</v>
      </c>
      <c r="F2617" s="166">
        <v>226.53842543204519</v>
      </c>
    </row>
    <row r="2618" spans="1:6">
      <c r="A2618" s="403">
        <v>4873</v>
      </c>
      <c r="B2618" s="403">
        <v>39</v>
      </c>
      <c r="C2618" s="166">
        <v>4</v>
      </c>
      <c r="D2618" s="166">
        <v>2211</v>
      </c>
      <c r="E2618" s="166" t="s">
        <v>1104</v>
      </c>
      <c r="F2618" s="166">
        <v>226.53842543204519</v>
      </c>
    </row>
    <row r="2619" spans="1:6">
      <c r="A2619" s="403">
        <v>4874</v>
      </c>
      <c r="B2619" s="403">
        <v>36</v>
      </c>
      <c r="C2619" s="166">
        <v>0</v>
      </c>
      <c r="D2619" s="166">
        <v>2835</v>
      </c>
      <c r="E2619" s="166" t="s">
        <v>1104</v>
      </c>
      <c r="F2619" s="166">
        <v>1397.6357253599117</v>
      </c>
    </row>
    <row r="2620" spans="1:6">
      <c r="A2620" s="403">
        <v>4875</v>
      </c>
      <c r="B2620" s="403">
        <v>36</v>
      </c>
      <c r="C2620" s="166">
        <v>0</v>
      </c>
      <c r="D2620" s="166">
        <v>2835</v>
      </c>
      <c r="E2620" s="166" t="s">
        <v>1104</v>
      </c>
      <c r="F2620" s="166">
        <v>1397.6357253599117</v>
      </c>
    </row>
    <row r="2621" spans="1:6">
      <c r="A2621" s="403">
        <v>4876</v>
      </c>
      <c r="B2621" s="403">
        <v>36</v>
      </c>
      <c r="C2621" s="166">
        <v>0</v>
      </c>
      <c r="D2621" s="166">
        <v>2835</v>
      </c>
      <c r="E2621" s="166" t="s">
        <v>1104</v>
      </c>
      <c r="F2621" s="166">
        <v>1397.6357253599117</v>
      </c>
    </row>
    <row r="2622" spans="1:6">
      <c r="A2622" s="403">
        <v>4878</v>
      </c>
      <c r="B2622" s="403">
        <v>39</v>
      </c>
      <c r="C2622" s="166">
        <v>4</v>
      </c>
      <c r="D2622" s="166">
        <v>2211</v>
      </c>
      <c r="E2622" s="166" t="s">
        <v>1104</v>
      </c>
      <c r="F2622" s="166">
        <v>226.53842543204519</v>
      </c>
    </row>
    <row r="2623" spans="1:6">
      <c r="A2623" s="403">
        <v>4879</v>
      </c>
      <c r="B2623" s="403">
        <v>39</v>
      </c>
      <c r="C2623" s="166">
        <v>4</v>
      </c>
      <c r="D2623" s="166">
        <v>2211</v>
      </c>
      <c r="E2623" s="166" t="s">
        <v>1104</v>
      </c>
      <c r="F2623" s="166">
        <v>226.53842543204519</v>
      </c>
    </row>
    <row r="2624" spans="1:6">
      <c r="A2624" s="403">
        <v>4880</v>
      </c>
      <c r="B2624" s="403">
        <v>39</v>
      </c>
      <c r="C2624" s="166">
        <v>4</v>
      </c>
      <c r="D2624" s="166">
        <v>2211</v>
      </c>
      <c r="E2624" s="166" t="s">
        <v>1104</v>
      </c>
      <c r="F2624" s="166">
        <v>226.53842543204519</v>
      </c>
    </row>
    <row r="2625" spans="1:6">
      <c r="A2625" s="403">
        <v>4882</v>
      </c>
      <c r="B2625" s="403">
        <v>39</v>
      </c>
      <c r="C2625" s="166">
        <v>4</v>
      </c>
      <c r="D2625" s="166">
        <v>2211</v>
      </c>
      <c r="E2625" s="166" t="s">
        <v>1104</v>
      </c>
      <c r="F2625" s="166">
        <v>226.53842543204519</v>
      </c>
    </row>
    <row r="2626" spans="1:6">
      <c r="A2626" s="403">
        <v>4883</v>
      </c>
      <c r="B2626" s="403">
        <v>39</v>
      </c>
      <c r="C2626" s="166">
        <v>4</v>
      </c>
      <c r="D2626" s="166">
        <v>2211</v>
      </c>
      <c r="E2626" s="166" t="s">
        <v>1104</v>
      </c>
      <c r="F2626" s="166">
        <v>226.53842543204519</v>
      </c>
    </row>
    <row r="2627" spans="1:6">
      <c r="A2627" s="403">
        <v>4885</v>
      </c>
      <c r="B2627" s="403">
        <v>39</v>
      </c>
      <c r="C2627" s="166">
        <v>4</v>
      </c>
      <c r="D2627" s="166">
        <v>2211</v>
      </c>
      <c r="E2627" s="166" t="s">
        <v>1104</v>
      </c>
      <c r="F2627" s="166">
        <v>226.53842543204519</v>
      </c>
    </row>
    <row r="2628" spans="1:6">
      <c r="A2628" s="403">
        <v>4886</v>
      </c>
      <c r="B2628" s="403">
        <v>39</v>
      </c>
      <c r="C2628" s="166">
        <v>4</v>
      </c>
      <c r="D2628" s="166">
        <v>2211</v>
      </c>
      <c r="E2628" s="166" t="s">
        <v>1104</v>
      </c>
      <c r="F2628" s="166">
        <v>226.53842543204519</v>
      </c>
    </row>
    <row r="2629" spans="1:6">
      <c r="A2629" s="403">
        <v>4890</v>
      </c>
      <c r="B2629" s="403">
        <v>39</v>
      </c>
      <c r="C2629" s="166">
        <v>4</v>
      </c>
      <c r="D2629" s="166">
        <v>2211</v>
      </c>
      <c r="E2629" s="166" t="s">
        <v>1104</v>
      </c>
      <c r="F2629" s="166">
        <v>226.53842543204519</v>
      </c>
    </row>
    <row r="2630" spans="1:6">
      <c r="A2630" s="403">
        <v>4891</v>
      </c>
      <c r="B2630" s="403">
        <v>39</v>
      </c>
      <c r="C2630" s="166">
        <v>4</v>
      </c>
      <c r="D2630" s="166">
        <v>2211</v>
      </c>
      <c r="E2630" s="166" t="s">
        <v>1104</v>
      </c>
      <c r="F2630" s="166">
        <v>226.53842543204519</v>
      </c>
    </row>
    <row r="2631" spans="1:6">
      <c r="A2631" s="403">
        <v>5000</v>
      </c>
      <c r="B2631" s="403">
        <v>33</v>
      </c>
      <c r="C2631" s="166">
        <v>1554</v>
      </c>
      <c r="D2631" s="166">
        <v>132</v>
      </c>
      <c r="E2631" s="166" t="s">
        <v>1105</v>
      </c>
      <c r="F2631" s="166">
        <v>824.92361111111165</v>
      </c>
    </row>
    <row r="2632" spans="1:6">
      <c r="A2632" s="403">
        <v>5001</v>
      </c>
      <c r="B2632" s="403">
        <v>33</v>
      </c>
      <c r="C2632" s="166">
        <v>1554</v>
      </c>
      <c r="D2632" s="166">
        <v>132</v>
      </c>
      <c r="E2632" s="166" t="s">
        <v>1105</v>
      </c>
      <c r="F2632" s="166">
        <v>824.92361111111165</v>
      </c>
    </row>
    <row r="2633" spans="1:6">
      <c r="A2633" s="403">
        <v>5005</v>
      </c>
      <c r="B2633" s="403">
        <v>33</v>
      </c>
      <c r="C2633" s="166">
        <v>1554</v>
      </c>
      <c r="D2633" s="166">
        <v>132</v>
      </c>
      <c r="E2633" s="166" t="s">
        <v>1105</v>
      </c>
      <c r="F2633" s="166">
        <v>824.92361111111165</v>
      </c>
    </row>
    <row r="2634" spans="1:6">
      <c r="A2634" s="403">
        <v>5006</v>
      </c>
      <c r="B2634" s="403">
        <v>33</v>
      </c>
      <c r="C2634" s="166">
        <v>1554</v>
      </c>
      <c r="D2634" s="166">
        <v>132</v>
      </c>
      <c r="E2634" s="166" t="s">
        <v>1105</v>
      </c>
      <c r="F2634" s="166">
        <v>824.92361111111165</v>
      </c>
    </row>
    <row r="2635" spans="1:6">
      <c r="A2635" s="403">
        <v>5007</v>
      </c>
      <c r="B2635" s="403">
        <v>33</v>
      </c>
      <c r="C2635" s="166">
        <v>1554</v>
      </c>
      <c r="D2635" s="166">
        <v>132</v>
      </c>
      <c r="E2635" s="166" t="s">
        <v>1105</v>
      </c>
      <c r="F2635" s="166">
        <v>824.92361111111165</v>
      </c>
    </row>
    <row r="2636" spans="1:6">
      <c r="A2636" s="403">
        <v>5008</v>
      </c>
      <c r="B2636" s="403">
        <v>33</v>
      </c>
      <c r="C2636" s="166">
        <v>1554</v>
      </c>
      <c r="D2636" s="166">
        <v>132</v>
      </c>
      <c r="E2636" s="166" t="s">
        <v>1105</v>
      </c>
      <c r="F2636" s="166">
        <v>824.92361111111165</v>
      </c>
    </row>
    <row r="2637" spans="1:6">
      <c r="A2637" s="403">
        <v>5009</v>
      </c>
      <c r="B2637" s="403">
        <v>33</v>
      </c>
      <c r="C2637" s="166">
        <v>1554</v>
      </c>
      <c r="D2637" s="166">
        <v>132</v>
      </c>
      <c r="E2637" s="166" t="s">
        <v>1105</v>
      </c>
      <c r="F2637" s="166">
        <v>824.92361111111165</v>
      </c>
    </row>
    <row r="2638" spans="1:6">
      <c r="A2638" s="403">
        <v>5010</v>
      </c>
      <c r="B2638" s="403">
        <v>33</v>
      </c>
      <c r="C2638" s="166">
        <v>1554</v>
      </c>
      <c r="D2638" s="166">
        <v>132</v>
      </c>
      <c r="E2638" s="166" t="s">
        <v>1105</v>
      </c>
      <c r="F2638" s="166">
        <v>824.92361111111165</v>
      </c>
    </row>
    <row r="2639" spans="1:6">
      <c r="A2639" s="403">
        <v>5011</v>
      </c>
      <c r="B2639" s="403">
        <v>33</v>
      </c>
      <c r="C2639" s="166">
        <v>1554</v>
      </c>
      <c r="D2639" s="166">
        <v>132</v>
      </c>
      <c r="E2639" s="166" t="s">
        <v>1105</v>
      </c>
      <c r="F2639" s="166">
        <v>824.92361111111165</v>
      </c>
    </row>
    <row r="2640" spans="1:6">
      <c r="A2640" s="403">
        <v>5012</v>
      </c>
      <c r="B2640" s="403">
        <v>33</v>
      </c>
      <c r="C2640" s="166">
        <v>1554</v>
      </c>
      <c r="D2640" s="166">
        <v>132</v>
      </c>
      <c r="E2640" s="166" t="s">
        <v>1105</v>
      </c>
      <c r="F2640" s="166">
        <v>824.92361111111165</v>
      </c>
    </row>
    <row r="2641" spans="1:6">
      <c r="A2641" s="403">
        <v>5013</v>
      </c>
      <c r="B2641" s="403">
        <v>33</v>
      </c>
      <c r="C2641" s="166">
        <v>1554</v>
      </c>
      <c r="D2641" s="166">
        <v>132</v>
      </c>
      <c r="E2641" s="166" t="s">
        <v>1105</v>
      </c>
      <c r="F2641" s="166">
        <v>824.92361111111165</v>
      </c>
    </row>
    <row r="2642" spans="1:6">
      <c r="A2642" s="403">
        <v>5014</v>
      </c>
      <c r="B2642" s="403">
        <v>33</v>
      </c>
      <c r="C2642" s="166">
        <v>1554</v>
      </c>
      <c r="D2642" s="166">
        <v>132</v>
      </c>
      <c r="E2642" s="166" t="s">
        <v>1105</v>
      </c>
      <c r="F2642" s="166">
        <v>824.92361111111165</v>
      </c>
    </row>
    <row r="2643" spans="1:6">
      <c r="A2643" s="403">
        <v>5015</v>
      </c>
      <c r="B2643" s="403">
        <v>33</v>
      </c>
      <c r="C2643" s="166">
        <v>1554</v>
      </c>
      <c r="D2643" s="166">
        <v>132</v>
      </c>
      <c r="E2643" s="166" t="s">
        <v>1105</v>
      </c>
      <c r="F2643" s="166">
        <v>824.92361111111165</v>
      </c>
    </row>
    <row r="2644" spans="1:6">
      <c r="A2644" s="403">
        <v>5016</v>
      </c>
      <c r="B2644" s="403">
        <v>33</v>
      </c>
      <c r="C2644" s="166">
        <v>1554</v>
      </c>
      <c r="D2644" s="166">
        <v>132</v>
      </c>
      <c r="E2644" s="166" t="s">
        <v>1105</v>
      </c>
      <c r="F2644" s="166">
        <v>824.92361111111165</v>
      </c>
    </row>
    <row r="2645" spans="1:6">
      <c r="A2645" s="403">
        <v>5017</v>
      </c>
      <c r="B2645" s="403">
        <v>33</v>
      </c>
      <c r="C2645" s="166">
        <v>1554</v>
      </c>
      <c r="D2645" s="166">
        <v>132</v>
      </c>
      <c r="E2645" s="166" t="s">
        <v>1105</v>
      </c>
      <c r="F2645" s="166">
        <v>824.92361111111165</v>
      </c>
    </row>
    <row r="2646" spans="1:6">
      <c r="A2646" s="403">
        <v>5018</v>
      </c>
      <c r="B2646" s="403">
        <v>33</v>
      </c>
      <c r="C2646" s="166">
        <v>1554</v>
      </c>
      <c r="D2646" s="166">
        <v>132</v>
      </c>
      <c r="E2646" s="166" t="s">
        <v>1105</v>
      </c>
      <c r="F2646" s="166">
        <v>824.92361111111165</v>
      </c>
    </row>
    <row r="2647" spans="1:6">
      <c r="A2647" s="403">
        <v>5019</v>
      </c>
      <c r="B2647" s="403">
        <v>33</v>
      </c>
      <c r="C2647" s="166">
        <v>1554</v>
      </c>
      <c r="D2647" s="166">
        <v>132</v>
      </c>
      <c r="E2647" s="166" t="s">
        <v>1105</v>
      </c>
      <c r="F2647" s="166">
        <v>824.92361111111165</v>
      </c>
    </row>
    <row r="2648" spans="1:6">
      <c r="A2648" s="403">
        <v>5020</v>
      </c>
      <c r="B2648" s="403">
        <v>33</v>
      </c>
      <c r="C2648" s="166">
        <v>1554</v>
      </c>
      <c r="D2648" s="166">
        <v>132</v>
      </c>
      <c r="E2648" s="166" t="s">
        <v>1105</v>
      </c>
      <c r="F2648" s="166">
        <v>824.92361111111165</v>
      </c>
    </row>
    <row r="2649" spans="1:6">
      <c r="A2649" s="403">
        <v>5021</v>
      </c>
      <c r="B2649" s="403">
        <v>33</v>
      </c>
      <c r="C2649" s="166">
        <v>1554</v>
      </c>
      <c r="D2649" s="166">
        <v>132</v>
      </c>
      <c r="E2649" s="166" t="s">
        <v>1105</v>
      </c>
      <c r="F2649" s="166">
        <v>824.92361111111165</v>
      </c>
    </row>
    <row r="2650" spans="1:6">
      <c r="A2650" s="403">
        <v>5022</v>
      </c>
      <c r="B2650" s="403">
        <v>33</v>
      </c>
      <c r="C2650" s="166">
        <v>1554</v>
      </c>
      <c r="D2650" s="166">
        <v>132</v>
      </c>
      <c r="E2650" s="166" t="s">
        <v>1105</v>
      </c>
      <c r="F2650" s="166">
        <v>824.92361111111165</v>
      </c>
    </row>
    <row r="2651" spans="1:6">
      <c r="A2651" s="403">
        <v>5023</v>
      </c>
      <c r="B2651" s="403">
        <v>33</v>
      </c>
      <c r="C2651" s="166">
        <v>1554</v>
      </c>
      <c r="D2651" s="166">
        <v>132</v>
      </c>
      <c r="E2651" s="166" t="s">
        <v>1105</v>
      </c>
      <c r="F2651" s="166">
        <v>824.92361111111165</v>
      </c>
    </row>
    <row r="2652" spans="1:6">
      <c r="A2652" s="403">
        <v>5024</v>
      </c>
      <c r="B2652" s="403">
        <v>33</v>
      </c>
      <c r="C2652" s="166">
        <v>1554</v>
      </c>
      <c r="D2652" s="166">
        <v>132</v>
      </c>
      <c r="E2652" s="166" t="s">
        <v>1105</v>
      </c>
      <c r="F2652" s="166">
        <v>824.92361111111165</v>
      </c>
    </row>
    <row r="2653" spans="1:6">
      <c r="A2653" s="403">
        <v>5025</v>
      </c>
      <c r="B2653" s="403">
        <v>33</v>
      </c>
      <c r="C2653" s="166">
        <v>1554</v>
      </c>
      <c r="D2653" s="166">
        <v>132</v>
      </c>
      <c r="E2653" s="166" t="s">
        <v>1105</v>
      </c>
      <c r="F2653" s="166">
        <v>824.92361111111165</v>
      </c>
    </row>
    <row r="2654" spans="1:6">
      <c r="A2654" s="403">
        <v>5031</v>
      </c>
      <c r="B2654" s="403">
        <v>33</v>
      </c>
      <c r="C2654" s="166">
        <v>1554</v>
      </c>
      <c r="D2654" s="166">
        <v>132</v>
      </c>
      <c r="E2654" s="166" t="s">
        <v>1105</v>
      </c>
      <c r="F2654" s="166">
        <v>824.92361111111165</v>
      </c>
    </row>
    <row r="2655" spans="1:6">
      <c r="A2655" s="403">
        <v>5032</v>
      </c>
      <c r="B2655" s="403">
        <v>33</v>
      </c>
      <c r="C2655" s="166">
        <v>1554</v>
      </c>
      <c r="D2655" s="166">
        <v>132</v>
      </c>
      <c r="E2655" s="166" t="s">
        <v>1105</v>
      </c>
      <c r="F2655" s="166">
        <v>824.92361111111165</v>
      </c>
    </row>
    <row r="2656" spans="1:6">
      <c r="A2656" s="403">
        <v>5033</v>
      </c>
      <c r="B2656" s="403">
        <v>33</v>
      </c>
      <c r="C2656" s="166">
        <v>1554</v>
      </c>
      <c r="D2656" s="166">
        <v>132</v>
      </c>
      <c r="E2656" s="166" t="s">
        <v>1105</v>
      </c>
      <c r="F2656" s="166">
        <v>824.92361111111165</v>
      </c>
    </row>
    <row r="2657" spans="1:6">
      <c r="A2657" s="403">
        <v>5034</v>
      </c>
      <c r="B2657" s="403">
        <v>33</v>
      </c>
      <c r="C2657" s="166">
        <v>1554</v>
      </c>
      <c r="D2657" s="166">
        <v>132</v>
      </c>
      <c r="E2657" s="166" t="s">
        <v>1105</v>
      </c>
      <c r="F2657" s="166">
        <v>824.92361111111165</v>
      </c>
    </row>
    <row r="2658" spans="1:6">
      <c r="A2658" s="403">
        <v>5035</v>
      </c>
      <c r="B2658" s="403">
        <v>33</v>
      </c>
      <c r="C2658" s="166">
        <v>1554</v>
      </c>
      <c r="D2658" s="166">
        <v>132</v>
      </c>
      <c r="E2658" s="166" t="s">
        <v>1105</v>
      </c>
      <c r="F2658" s="166">
        <v>824.92361111111165</v>
      </c>
    </row>
    <row r="2659" spans="1:6">
      <c r="A2659" s="403">
        <v>5037</v>
      </c>
      <c r="B2659" s="403">
        <v>33</v>
      </c>
      <c r="C2659" s="166">
        <v>1554</v>
      </c>
      <c r="D2659" s="166">
        <v>132</v>
      </c>
      <c r="E2659" s="166" t="s">
        <v>1105</v>
      </c>
      <c r="F2659" s="166">
        <v>824.92361111111165</v>
      </c>
    </row>
    <row r="2660" spans="1:6">
      <c r="A2660" s="403">
        <v>5038</v>
      </c>
      <c r="B2660" s="403">
        <v>33</v>
      </c>
      <c r="C2660" s="166">
        <v>1554</v>
      </c>
      <c r="D2660" s="166">
        <v>132</v>
      </c>
      <c r="E2660" s="166" t="s">
        <v>1105</v>
      </c>
      <c r="F2660" s="166">
        <v>824.92361111111165</v>
      </c>
    </row>
    <row r="2661" spans="1:6">
      <c r="A2661" s="403">
        <v>5039</v>
      </c>
      <c r="B2661" s="403">
        <v>33</v>
      </c>
      <c r="C2661" s="166">
        <v>1554</v>
      </c>
      <c r="D2661" s="166">
        <v>132</v>
      </c>
      <c r="E2661" s="166" t="s">
        <v>1105</v>
      </c>
      <c r="F2661" s="166">
        <v>824.92361111111165</v>
      </c>
    </row>
    <row r="2662" spans="1:6">
      <c r="A2662" s="403">
        <v>5040</v>
      </c>
      <c r="B2662" s="403">
        <v>33</v>
      </c>
      <c r="C2662" s="166">
        <v>1554</v>
      </c>
      <c r="D2662" s="166">
        <v>132</v>
      </c>
      <c r="E2662" s="166" t="s">
        <v>1105</v>
      </c>
      <c r="F2662" s="166">
        <v>824.92361111111165</v>
      </c>
    </row>
    <row r="2663" spans="1:6">
      <c r="A2663" s="403">
        <v>5041</v>
      </c>
      <c r="B2663" s="403">
        <v>33</v>
      </c>
      <c r="C2663" s="166">
        <v>1554</v>
      </c>
      <c r="D2663" s="166">
        <v>132</v>
      </c>
      <c r="E2663" s="166" t="s">
        <v>1105</v>
      </c>
      <c r="F2663" s="166">
        <v>824.92361111111165</v>
      </c>
    </row>
    <row r="2664" spans="1:6">
      <c r="A2664" s="403">
        <v>5042</v>
      </c>
      <c r="B2664" s="403">
        <v>33</v>
      </c>
      <c r="C2664" s="166">
        <v>1554</v>
      </c>
      <c r="D2664" s="166">
        <v>132</v>
      </c>
      <c r="E2664" s="166" t="s">
        <v>1105</v>
      </c>
      <c r="F2664" s="166">
        <v>824.92361111111165</v>
      </c>
    </row>
    <row r="2665" spans="1:6">
      <c r="A2665" s="403">
        <v>5043</v>
      </c>
      <c r="B2665" s="403">
        <v>33</v>
      </c>
      <c r="C2665" s="166">
        <v>1554</v>
      </c>
      <c r="D2665" s="166">
        <v>132</v>
      </c>
      <c r="E2665" s="166" t="s">
        <v>1105</v>
      </c>
      <c r="F2665" s="166">
        <v>824.92361111111165</v>
      </c>
    </row>
    <row r="2666" spans="1:6">
      <c r="A2666" s="403">
        <v>5044</v>
      </c>
      <c r="B2666" s="403">
        <v>33</v>
      </c>
      <c r="C2666" s="166">
        <v>1554</v>
      </c>
      <c r="D2666" s="166">
        <v>132</v>
      </c>
      <c r="E2666" s="166" t="s">
        <v>1105</v>
      </c>
      <c r="F2666" s="166">
        <v>824.92361111111165</v>
      </c>
    </row>
    <row r="2667" spans="1:6">
      <c r="A2667" s="403">
        <v>5045</v>
      </c>
      <c r="B2667" s="403">
        <v>33</v>
      </c>
      <c r="C2667" s="166">
        <v>1554</v>
      </c>
      <c r="D2667" s="166">
        <v>132</v>
      </c>
      <c r="E2667" s="166" t="s">
        <v>1105</v>
      </c>
      <c r="F2667" s="166">
        <v>824.92361111111165</v>
      </c>
    </row>
    <row r="2668" spans="1:6">
      <c r="A2668" s="403">
        <v>5046</v>
      </c>
      <c r="B2668" s="403">
        <v>33</v>
      </c>
      <c r="C2668" s="166">
        <v>1554</v>
      </c>
      <c r="D2668" s="166">
        <v>132</v>
      </c>
      <c r="E2668" s="166" t="s">
        <v>1105</v>
      </c>
      <c r="F2668" s="166">
        <v>824.92361111111165</v>
      </c>
    </row>
    <row r="2669" spans="1:6">
      <c r="A2669" s="403">
        <v>5047</v>
      </c>
      <c r="B2669" s="403">
        <v>33</v>
      </c>
      <c r="C2669" s="166">
        <v>1554</v>
      </c>
      <c r="D2669" s="166">
        <v>132</v>
      </c>
      <c r="E2669" s="166" t="s">
        <v>1105</v>
      </c>
      <c r="F2669" s="166">
        <v>824.92361111111165</v>
      </c>
    </row>
    <row r="2670" spans="1:6">
      <c r="A2670" s="403">
        <v>5048</v>
      </c>
      <c r="B2670" s="403">
        <v>33</v>
      </c>
      <c r="C2670" s="166">
        <v>1554</v>
      </c>
      <c r="D2670" s="166">
        <v>132</v>
      </c>
      <c r="E2670" s="166" t="s">
        <v>1105</v>
      </c>
      <c r="F2670" s="166">
        <v>824.92361111111165</v>
      </c>
    </row>
    <row r="2671" spans="1:6">
      <c r="A2671" s="403">
        <v>5049</v>
      </c>
      <c r="B2671" s="403">
        <v>33</v>
      </c>
      <c r="C2671" s="166">
        <v>1554</v>
      </c>
      <c r="D2671" s="166">
        <v>132</v>
      </c>
      <c r="E2671" s="166" t="s">
        <v>1105</v>
      </c>
      <c r="F2671" s="166">
        <v>824.92361111111165</v>
      </c>
    </row>
    <row r="2672" spans="1:6">
      <c r="A2672" s="403">
        <v>5050</v>
      </c>
      <c r="B2672" s="403">
        <v>33</v>
      </c>
      <c r="C2672" s="166">
        <v>1554</v>
      </c>
      <c r="D2672" s="166">
        <v>132</v>
      </c>
      <c r="E2672" s="166" t="s">
        <v>1105</v>
      </c>
      <c r="F2672" s="166">
        <v>824.92361111111165</v>
      </c>
    </row>
    <row r="2673" spans="1:6">
      <c r="A2673" s="403">
        <v>5051</v>
      </c>
      <c r="B2673" s="403">
        <v>33</v>
      </c>
      <c r="C2673" s="166">
        <v>1554</v>
      </c>
      <c r="D2673" s="166">
        <v>132</v>
      </c>
      <c r="E2673" s="166" t="s">
        <v>1105</v>
      </c>
      <c r="F2673" s="166">
        <v>824.92361111111165</v>
      </c>
    </row>
    <row r="2674" spans="1:6">
      <c r="A2674" s="403">
        <v>5052</v>
      </c>
      <c r="B2674" s="403">
        <v>33</v>
      </c>
      <c r="C2674" s="166">
        <v>1554</v>
      </c>
      <c r="D2674" s="166">
        <v>132</v>
      </c>
      <c r="E2674" s="166" t="s">
        <v>1105</v>
      </c>
      <c r="F2674" s="166">
        <v>824.92361111111165</v>
      </c>
    </row>
    <row r="2675" spans="1:6">
      <c r="A2675" s="403">
        <v>5061</v>
      </c>
      <c r="B2675" s="403">
        <v>33</v>
      </c>
      <c r="C2675" s="166">
        <v>1554</v>
      </c>
      <c r="D2675" s="166">
        <v>132</v>
      </c>
      <c r="E2675" s="166" t="s">
        <v>1105</v>
      </c>
      <c r="F2675" s="166">
        <v>824.92361111111165</v>
      </c>
    </row>
    <row r="2676" spans="1:6">
      <c r="A2676" s="403">
        <v>5062</v>
      </c>
      <c r="B2676" s="403">
        <v>33</v>
      </c>
      <c r="C2676" s="166">
        <v>1554</v>
      </c>
      <c r="D2676" s="166">
        <v>132</v>
      </c>
      <c r="E2676" s="166" t="s">
        <v>1105</v>
      </c>
      <c r="F2676" s="166">
        <v>824.92361111111165</v>
      </c>
    </row>
    <row r="2677" spans="1:6">
      <c r="A2677" s="403">
        <v>5063</v>
      </c>
      <c r="B2677" s="403">
        <v>33</v>
      </c>
      <c r="C2677" s="166">
        <v>1554</v>
      </c>
      <c r="D2677" s="166">
        <v>132</v>
      </c>
      <c r="E2677" s="166" t="s">
        <v>1105</v>
      </c>
      <c r="F2677" s="166">
        <v>824.92361111111165</v>
      </c>
    </row>
    <row r="2678" spans="1:6">
      <c r="A2678" s="403">
        <v>5064</v>
      </c>
      <c r="B2678" s="403">
        <v>33</v>
      </c>
      <c r="C2678" s="166">
        <v>1554</v>
      </c>
      <c r="D2678" s="166">
        <v>132</v>
      </c>
      <c r="E2678" s="166" t="s">
        <v>1105</v>
      </c>
      <c r="F2678" s="166">
        <v>824.92361111111165</v>
      </c>
    </row>
    <row r="2679" spans="1:6">
      <c r="A2679" s="403">
        <v>5065</v>
      </c>
      <c r="B2679" s="403">
        <v>33</v>
      </c>
      <c r="C2679" s="166">
        <v>1554</v>
      </c>
      <c r="D2679" s="166">
        <v>132</v>
      </c>
      <c r="E2679" s="166" t="s">
        <v>1105</v>
      </c>
      <c r="F2679" s="166">
        <v>824.92361111111165</v>
      </c>
    </row>
    <row r="2680" spans="1:6">
      <c r="A2680" s="403">
        <v>5066</v>
      </c>
      <c r="B2680" s="403">
        <v>33</v>
      </c>
      <c r="C2680" s="166">
        <v>1554</v>
      </c>
      <c r="D2680" s="166">
        <v>132</v>
      </c>
      <c r="E2680" s="166" t="s">
        <v>1105</v>
      </c>
      <c r="F2680" s="166">
        <v>824.92361111111165</v>
      </c>
    </row>
    <row r="2681" spans="1:6">
      <c r="A2681" s="403">
        <v>5067</v>
      </c>
      <c r="B2681" s="403">
        <v>33</v>
      </c>
      <c r="C2681" s="166">
        <v>1554</v>
      </c>
      <c r="D2681" s="166">
        <v>132</v>
      </c>
      <c r="E2681" s="166" t="s">
        <v>1105</v>
      </c>
      <c r="F2681" s="166">
        <v>824.92361111111165</v>
      </c>
    </row>
    <row r="2682" spans="1:6">
      <c r="A2682" s="403">
        <v>5068</v>
      </c>
      <c r="B2682" s="403">
        <v>33</v>
      </c>
      <c r="C2682" s="166">
        <v>1554</v>
      </c>
      <c r="D2682" s="166">
        <v>132</v>
      </c>
      <c r="E2682" s="166" t="s">
        <v>1105</v>
      </c>
      <c r="F2682" s="166">
        <v>824.92361111111165</v>
      </c>
    </row>
    <row r="2683" spans="1:6">
      <c r="A2683" s="403">
        <v>5069</v>
      </c>
      <c r="B2683" s="403">
        <v>33</v>
      </c>
      <c r="C2683" s="166">
        <v>1554</v>
      </c>
      <c r="D2683" s="166">
        <v>132</v>
      </c>
      <c r="E2683" s="166" t="s">
        <v>1105</v>
      </c>
      <c r="F2683" s="166">
        <v>824.92361111111165</v>
      </c>
    </row>
    <row r="2684" spans="1:6">
      <c r="A2684" s="403">
        <v>5070</v>
      </c>
      <c r="B2684" s="403">
        <v>33</v>
      </c>
      <c r="C2684" s="166">
        <v>1554</v>
      </c>
      <c r="D2684" s="166">
        <v>132</v>
      </c>
      <c r="E2684" s="166" t="s">
        <v>1105</v>
      </c>
      <c r="F2684" s="166">
        <v>824.92361111111165</v>
      </c>
    </row>
    <row r="2685" spans="1:6">
      <c r="A2685" s="403">
        <v>5071</v>
      </c>
      <c r="B2685" s="403">
        <v>33</v>
      </c>
      <c r="C2685" s="166">
        <v>1554</v>
      </c>
      <c r="D2685" s="166">
        <v>132</v>
      </c>
      <c r="E2685" s="166" t="s">
        <v>1105</v>
      </c>
      <c r="F2685" s="166">
        <v>824.92361111111165</v>
      </c>
    </row>
    <row r="2686" spans="1:6">
      <c r="A2686" s="403">
        <v>5072</v>
      </c>
      <c r="B2686" s="403">
        <v>33</v>
      </c>
      <c r="C2686" s="166">
        <v>1554</v>
      </c>
      <c r="D2686" s="166">
        <v>132</v>
      </c>
      <c r="E2686" s="166" t="s">
        <v>1105</v>
      </c>
      <c r="F2686" s="166">
        <v>824.92361111111165</v>
      </c>
    </row>
    <row r="2687" spans="1:6">
      <c r="A2687" s="403">
        <v>5073</v>
      </c>
      <c r="B2687" s="403">
        <v>33</v>
      </c>
      <c r="C2687" s="166">
        <v>1554</v>
      </c>
      <c r="D2687" s="166">
        <v>132</v>
      </c>
      <c r="E2687" s="166" t="s">
        <v>1105</v>
      </c>
      <c r="F2687" s="166">
        <v>824.92361111111165</v>
      </c>
    </row>
    <row r="2688" spans="1:6">
      <c r="A2688" s="403">
        <v>5074</v>
      </c>
      <c r="B2688" s="403">
        <v>33</v>
      </c>
      <c r="C2688" s="166">
        <v>1554</v>
      </c>
      <c r="D2688" s="166">
        <v>132</v>
      </c>
      <c r="E2688" s="166" t="s">
        <v>1105</v>
      </c>
      <c r="F2688" s="166">
        <v>824.92361111111165</v>
      </c>
    </row>
    <row r="2689" spans="1:6">
      <c r="A2689" s="403">
        <v>5075</v>
      </c>
      <c r="B2689" s="403">
        <v>33</v>
      </c>
      <c r="C2689" s="166">
        <v>1554</v>
      </c>
      <c r="D2689" s="166">
        <v>132</v>
      </c>
      <c r="E2689" s="166" t="s">
        <v>1105</v>
      </c>
      <c r="F2689" s="166">
        <v>824.92361111111165</v>
      </c>
    </row>
    <row r="2690" spans="1:6">
      <c r="A2690" s="403">
        <v>5076</v>
      </c>
      <c r="B2690" s="403">
        <v>33</v>
      </c>
      <c r="C2690" s="166">
        <v>1554</v>
      </c>
      <c r="D2690" s="166">
        <v>132</v>
      </c>
      <c r="E2690" s="166" t="s">
        <v>1105</v>
      </c>
      <c r="F2690" s="166">
        <v>824.92361111111165</v>
      </c>
    </row>
    <row r="2691" spans="1:6">
      <c r="A2691" s="403">
        <v>5081</v>
      </c>
      <c r="B2691" s="403">
        <v>33</v>
      </c>
      <c r="C2691" s="166">
        <v>1554</v>
      </c>
      <c r="D2691" s="166">
        <v>132</v>
      </c>
      <c r="E2691" s="166" t="s">
        <v>1105</v>
      </c>
      <c r="F2691" s="166">
        <v>824.92361111111165</v>
      </c>
    </row>
    <row r="2692" spans="1:6">
      <c r="A2692" s="403">
        <v>5082</v>
      </c>
      <c r="B2692" s="403">
        <v>33</v>
      </c>
      <c r="C2692" s="166">
        <v>1554</v>
      </c>
      <c r="D2692" s="166">
        <v>132</v>
      </c>
      <c r="E2692" s="166" t="s">
        <v>1105</v>
      </c>
      <c r="F2692" s="166">
        <v>824.92361111111165</v>
      </c>
    </row>
    <row r="2693" spans="1:6">
      <c r="A2693" s="403">
        <v>5083</v>
      </c>
      <c r="B2693" s="403">
        <v>33</v>
      </c>
      <c r="C2693" s="166">
        <v>1554</v>
      </c>
      <c r="D2693" s="166">
        <v>132</v>
      </c>
      <c r="E2693" s="166" t="s">
        <v>1105</v>
      </c>
      <c r="F2693" s="166">
        <v>824.92361111111165</v>
      </c>
    </row>
    <row r="2694" spans="1:6">
      <c r="A2694" s="403">
        <v>5084</v>
      </c>
      <c r="B2694" s="403">
        <v>33</v>
      </c>
      <c r="C2694" s="166">
        <v>1554</v>
      </c>
      <c r="D2694" s="166">
        <v>132</v>
      </c>
      <c r="E2694" s="166" t="s">
        <v>1105</v>
      </c>
      <c r="F2694" s="166">
        <v>824.92361111111165</v>
      </c>
    </row>
    <row r="2695" spans="1:6">
      <c r="A2695" s="403">
        <v>5085</v>
      </c>
      <c r="B2695" s="403">
        <v>33</v>
      </c>
      <c r="C2695" s="166">
        <v>1554</v>
      </c>
      <c r="D2695" s="166">
        <v>132</v>
      </c>
      <c r="E2695" s="166" t="s">
        <v>1105</v>
      </c>
      <c r="F2695" s="166">
        <v>824.92361111111165</v>
      </c>
    </row>
    <row r="2696" spans="1:6">
      <c r="A2696" s="403">
        <v>5086</v>
      </c>
      <c r="B2696" s="403">
        <v>33</v>
      </c>
      <c r="C2696" s="166">
        <v>1554</v>
      </c>
      <c r="D2696" s="166">
        <v>132</v>
      </c>
      <c r="E2696" s="166" t="s">
        <v>1105</v>
      </c>
      <c r="F2696" s="166">
        <v>824.92361111111165</v>
      </c>
    </row>
    <row r="2697" spans="1:6">
      <c r="A2697" s="403">
        <v>5087</v>
      </c>
      <c r="B2697" s="403">
        <v>33</v>
      </c>
      <c r="C2697" s="166">
        <v>1554</v>
      </c>
      <c r="D2697" s="166">
        <v>132</v>
      </c>
      <c r="E2697" s="166" t="s">
        <v>1105</v>
      </c>
      <c r="F2697" s="166">
        <v>824.92361111111165</v>
      </c>
    </row>
    <row r="2698" spans="1:6">
      <c r="A2698" s="403">
        <v>5088</v>
      </c>
      <c r="B2698" s="403">
        <v>33</v>
      </c>
      <c r="C2698" s="166">
        <v>1554</v>
      </c>
      <c r="D2698" s="166">
        <v>132</v>
      </c>
      <c r="E2698" s="166" t="s">
        <v>1105</v>
      </c>
      <c r="F2698" s="166">
        <v>824.92361111111165</v>
      </c>
    </row>
    <row r="2699" spans="1:6">
      <c r="A2699" s="403">
        <v>5089</v>
      </c>
      <c r="B2699" s="403">
        <v>33</v>
      </c>
      <c r="C2699" s="166">
        <v>1554</v>
      </c>
      <c r="D2699" s="166">
        <v>132</v>
      </c>
      <c r="E2699" s="166" t="s">
        <v>1105</v>
      </c>
      <c r="F2699" s="166">
        <v>824.92361111111165</v>
      </c>
    </row>
    <row r="2700" spans="1:6">
      <c r="A2700" s="403">
        <v>5090</v>
      </c>
      <c r="B2700" s="403">
        <v>33</v>
      </c>
      <c r="C2700" s="166">
        <v>1554</v>
      </c>
      <c r="D2700" s="166">
        <v>132</v>
      </c>
      <c r="E2700" s="166" t="s">
        <v>1105</v>
      </c>
      <c r="F2700" s="166">
        <v>824.92361111111165</v>
      </c>
    </row>
    <row r="2701" spans="1:6">
      <c r="A2701" s="403">
        <v>5091</v>
      </c>
      <c r="B2701" s="403">
        <v>33</v>
      </c>
      <c r="C2701" s="166">
        <v>1554</v>
      </c>
      <c r="D2701" s="166">
        <v>132</v>
      </c>
      <c r="E2701" s="166" t="s">
        <v>1105</v>
      </c>
      <c r="F2701" s="166">
        <v>824.92361111111165</v>
      </c>
    </row>
    <row r="2702" spans="1:6">
      <c r="A2702" s="403">
        <v>5092</v>
      </c>
      <c r="B2702" s="403">
        <v>33</v>
      </c>
      <c r="C2702" s="166">
        <v>1554</v>
      </c>
      <c r="D2702" s="166">
        <v>132</v>
      </c>
      <c r="E2702" s="166" t="s">
        <v>1105</v>
      </c>
      <c r="F2702" s="166">
        <v>824.92361111111165</v>
      </c>
    </row>
    <row r="2703" spans="1:6">
      <c r="A2703" s="403">
        <v>5093</v>
      </c>
      <c r="B2703" s="403">
        <v>33</v>
      </c>
      <c r="C2703" s="166">
        <v>1554</v>
      </c>
      <c r="D2703" s="166">
        <v>132</v>
      </c>
      <c r="E2703" s="166" t="s">
        <v>1105</v>
      </c>
      <c r="F2703" s="166">
        <v>824.92361111111165</v>
      </c>
    </row>
    <row r="2704" spans="1:6">
      <c r="A2704" s="403">
        <v>5094</v>
      </c>
      <c r="B2704" s="403">
        <v>33</v>
      </c>
      <c r="C2704" s="166">
        <v>1554</v>
      </c>
      <c r="D2704" s="166">
        <v>132</v>
      </c>
      <c r="E2704" s="166" t="s">
        <v>1105</v>
      </c>
      <c r="F2704" s="166">
        <v>824.92361111111165</v>
      </c>
    </row>
    <row r="2705" spans="1:6">
      <c r="A2705" s="403">
        <v>5095</v>
      </c>
      <c r="B2705" s="403">
        <v>33</v>
      </c>
      <c r="C2705" s="166">
        <v>1554</v>
      </c>
      <c r="D2705" s="166">
        <v>132</v>
      </c>
      <c r="E2705" s="166" t="s">
        <v>1105</v>
      </c>
      <c r="F2705" s="166">
        <v>824.92361111111165</v>
      </c>
    </row>
    <row r="2706" spans="1:6">
      <c r="A2706" s="403">
        <v>5096</v>
      </c>
      <c r="B2706" s="403">
        <v>33</v>
      </c>
      <c r="C2706" s="166">
        <v>1554</v>
      </c>
      <c r="D2706" s="166">
        <v>132</v>
      </c>
      <c r="E2706" s="166" t="s">
        <v>1105</v>
      </c>
      <c r="F2706" s="166">
        <v>824.92361111111165</v>
      </c>
    </row>
    <row r="2707" spans="1:6">
      <c r="A2707" s="403">
        <v>5097</v>
      </c>
      <c r="B2707" s="403">
        <v>33</v>
      </c>
      <c r="C2707" s="166">
        <v>1554</v>
      </c>
      <c r="D2707" s="166">
        <v>132</v>
      </c>
      <c r="E2707" s="166" t="s">
        <v>1105</v>
      </c>
      <c r="F2707" s="166">
        <v>824.92361111111165</v>
      </c>
    </row>
    <row r="2708" spans="1:6">
      <c r="A2708" s="403">
        <v>5098</v>
      </c>
      <c r="B2708" s="403">
        <v>33</v>
      </c>
      <c r="C2708" s="166">
        <v>1554</v>
      </c>
      <c r="D2708" s="166">
        <v>132</v>
      </c>
      <c r="E2708" s="166" t="s">
        <v>1105</v>
      </c>
      <c r="F2708" s="166">
        <v>824.92361111111165</v>
      </c>
    </row>
    <row r="2709" spans="1:6">
      <c r="A2709" s="403">
        <v>5106</v>
      </c>
      <c r="B2709" s="403">
        <v>33</v>
      </c>
      <c r="C2709" s="166">
        <v>1554</v>
      </c>
      <c r="D2709" s="166">
        <v>132</v>
      </c>
      <c r="E2709" s="166" t="s">
        <v>1105</v>
      </c>
      <c r="F2709" s="166">
        <v>824.92361111111165</v>
      </c>
    </row>
    <row r="2710" spans="1:6">
      <c r="A2710" s="403">
        <v>5107</v>
      </c>
      <c r="B2710" s="403">
        <v>33</v>
      </c>
      <c r="C2710" s="166">
        <v>1554</v>
      </c>
      <c r="D2710" s="166">
        <v>132</v>
      </c>
      <c r="E2710" s="166" t="s">
        <v>1105</v>
      </c>
      <c r="F2710" s="166">
        <v>824.92361111111165</v>
      </c>
    </row>
    <row r="2711" spans="1:6">
      <c r="A2711" s="403">
        <v>5108</v>
      </c>
      <c r="B2711" s="403">
        <v>33</v>
      </c>
      <c r="C2711" s="166">
        <v>1554</v>
      </c>
      <c r="D2711" s="166">
        <v>132</v>
      </c>
      <c r="E2711" s="166" t="s">
        <v>1105</v>
      </c>
      <c r="F2711" s="166">
        <v>824.92361111111165</v>
      </c>
    </row>
    <row r="2712" spans="1:6">
      <c r="A2712" s="403">
        <v>5109</v>
      </c>
      <c r="B2712" s="403">
        <v>33</v>
      </c>
      <c r="C2712" s="166">
        <v>1554</v>
      </c>
      <c r="D2712" s="166">
        <v>132</v>
      </c>
      <c r="E2712" s="166" t="s">
        <v>1105</v>
      </c>
      <c r="F2712" s="166">
        <v>824.92361111111165</v>
      </c>
    </row>
    <row r="2713" spans="1:6">
      <c r="A2713" s="403">
        <v>5110</v>
      </c>
      <c r="B2713" s="403">
        <v>33</v>
      </c>
      <c r="C2713" s="166">
        <v>1554</v>
      </c>
      <c r="D2713" s="166">
        <v>132</v>
      </c>
      <c r="E2713" s="166" t="s">
        <v>1105</v>
      </c>
      <c r="F2713" s="166">
        <v>824.92361111111165</v>
      </c>
    </row>
    <row r="2714" spans="1:6">
      <c r="A2714" s="403">
        <v>5111</v>
      </c>
      <c r="B2714" s="403">
        <v>33</v>
      </c>
      <c r="C2714" s="166">
        <v>1554</v>
      </c>
      <c r="D2714" s="166">
        <v>132</v>
      </c>
      <c r="E2714" s="166" t="s">
        <v>1105</v>
      </c>
      <c r="F2714" s="166">
        <v>824.92361111111165</v>
      </c>
    </row>
    <row r="2715" spans="1:6">
      <c r="A2715" s="403">
        <v>5112</v>
      </c>
      <c r="B2715" s="403">
        <v>33</v>
      </c>
      <c r="C2715" s="166">
        <v>1554</v>
      </c>
      <c r="D2715" s="166">
        <v>132</v>
      </c>
      <c r="E2715" s="166" t="s">
        <v>1105</v>
      </c>
      <c r="F2715" s="166">
        <v>824.92361111111165</v>
      </c>
    </row>
    <row r="2716" spans="1:6">
      <c r="A2716" s="403">
        <v>5113</v>
      </c>
      <c r="B2716" s="403">
        <v>33</v>
      </c>
      <c r="C2716" s="166">
        <v>1554</v>
      </c>
      <c r="D2716" s="166">
        <v>132</v>
      </c>
      <c r="E2716" s="166" t="s">
        <v>1105</v>
      </c>
      <c r="F2716" s="166">
        <v>824.92361111111165</v>
      </c>
    </row>
    <row r="2717" spans="1:6">
      <c r="A2717" s="403">
        <v>5114</v>
      </c>
      <c r="B2717" s="403">
        <v>33</v>
      </c>
      <c r="C2717" s="166">
        <v>1554</v>
      </c>
      <c r="D2717" s="166">
        <v>132</v>
      </c>
      <c r="E2717" s="166" t="s">
        <v>1105</v>
      </c>
      <c r="F2717" s="166">
        <v>824.92361111111165</v>
      </c>
    </row>
    <row r="2718" spans="1:6">
      <c r="A2718" s="403">
        <v>5115</v>
      </c>
      <c r="B2718" s="403">
        <v>33</v>
      </c>
      <c r="C2718" s="166">
        <v>1554</v>
      </c>
      <c r="D2718" s="166">
        <v>132</v>
      </c>
      <c r="E2718" s="166" t="s">
        <v>1105</v>
      </c>
      <c r="F2718" s="166">
        <v>824.92361111111165</v>
      </c>
    </row>
    <row r="2719" spans="1:6">
      <c r="A2719" s="403">
        <v>5116</v>
      </c>
      <c r="B2719" s="403">
        <v>33</v>
      </c>
      <c r="C2719" s="166">
        <v>1554</v>
      </c>
      <c r="D2719" s="166">
        <v>132</v>
      </c>
      <c r="E2719" s="166" t="s">
        <v>1105</v>
      </c>
      <c r="F2719" s="166">
        <v>824.92361111111165</v>
      </c>
    </row>
    <row r="2720" spans="1:6">
      <c r="A2720" s="403">
        <v>5117</v>
      </c>
      <c r="B2720" s="403">
        <v>33</v>
      </c>
      <c r="C2720" s="166">
        <v>1554</v>
      </c>
      <c r="D2720" s="166">
        <v>132</v>
      </c>
      <c r="E2720" s="166" t="s">
        <v>1105</v>
      </c>
      <c r="F2720" s="166">
        <v>824.92361111111165</v>
      </c>
    </row>
    <row r="2721" spans="1:6">
      <c r="A2721" s="403">
        <v>5118</v>
      </c>
      <c r="B2721" s="403">
        <v>33</v>
      </c>
      <c r="C2721" s="166">
        <v>1554</v>
      </c>
      <c r="D2721" s="166">
        <v>132</v>
      </c>
      <c r="E2721" s="166" t="s">
        <v>1105</v>
      </c>
      <c r="F2721" s="166">
        <v>824.92361111111165</v>
      </c>
    </row>
    <row r="2722" spans="1:6">
      <c r="A2722" s="403">
        <v>5120</v>
      </c>
      <c r="B2722" s="403">
        <v>33</v>
      </c>
      <c r="C2722" s="166">
        <v>1554</v>
      </c>
      <c r="D2722" s="166">
        <v>132</v>
      </c>
      <c r="E2722" s="166" t="s">
        <v>1105</v>
      </c>
      <c r="F2722" s="166">
        <v>824.92361111111165</v>
      </c>
    </row>
    <row r="2723" spans="1:6">
      <c r="A2723" s="403">
        <v>5121</v>
      </c>
      <c r="B2723" s="403">
        <v>33</v>
      </c>
      <c r="C2723" s="166">
        <v>1554</v>
      </c>
      <c r="D2723" s="166">
        <v>132</v>
      </c>
      <c r="E2723" s="166" t="s">
        <v>1105</v>
      </c>
      <c r="F2723" s="166">
        <v>824.92361111111165</v>
      </c>
    </row>
    <row r="2724" spans="1:6">
      <c r="A2724" s="403">
        <v>5125</v>
      </c>
      <c r="B2724" s="403">
        <v>33</v>
      </c>
      <c r="C2724" s="166">
        <v>1554</v>
      </c>
      <c r="D2724" s="166">
        <v>132</v>
      </c>
      <c r="E2724" s="166" t="s">
        <v>1105</v>
      </c>
      <c r="F2724" s="166">
        <v>824.92361111111165</v>
      </c>
    </row>
    <row r="2725" spans="1:6">
      <c r="A2725" s="403">
        <v>5126</v>
      </c>
      <c r="B2725" s="403">
        <v>33</v>
      </c>
      <c r="C2725" s="166">
        <v>1554</v>
      </c>
      <c r="D2725" s="166">
        <v>132</v>
      </c>
      <c r="E2725" s="166" t="s">
        <v>1105</v>
      </c>
      <c r="F2725" s="166">
        <v>824.92361111111165</v>
      </c>
    </row>
    <row r="2726" spans="1:6">
      <c r="A2726" s="403">
        <v>5127</v>
      </c>
      <c r="B2726" s="403">
        <v>33</v>
      </c>
      <c r="C2726" s="166">
        <v>1554</v>
      </c>
      <c r="D2726" s="166">
        <v>132</v>
      </c>
      <c r="E2726" s="166" t="s">
        <v>1105</v>
      </c>
      <c r="F2726" s="166">
        <v>824.92361111111165</v>
      </c>
    </row>
    <row r="2727" spans="1:6">
      <c r="A2727" s="403">
        <v>5131</v>
      </c>
      <c r="B2727" s="403">
        <v>33</v>
      </c>
      <c r="C2727" s="166">
        <v>1554</v>
      </c>
      <c r="D2727" s="166">
        <v>132</v>
      </c>
      <c r="E2727" s="166" t="s">
        <v>1105</v>
      </c>
      <c r="F2727" s="166">
        <v>824.92361111111165</v>
      </c>
    </row>
    <row r="2728" spans="1:6">
      <c r="A2728" s="403">
        <v>5132</v>
      </c>
      <c r="B2728" s="403">
        <v>33</v>
      </c>
      <c r="C2728" s="166">
        <v>1554</v>
      </c>
      <c r="D2728" s="166">
        <v>132</v>
      </c>
      <c r="E2728" s="166" t="s">
        <v>1105</v>
      </c>
      <c r="F2728" s="166">
        <v>824.92361111111165</v>
      </c>
    </row>
    <row r="2729" spans="1:6">
      <c r="A2729" s="403">
        <v>5133</v>
      </c>
      <c r="B2729" s="403">
        <v>33</v>
      </c>
      <c r="C2729" s="166">
        <v>1554</v>
      </c>
      <c r="D2729" s="166">
        <v>132</v>
      </c>
      <c r="E2729" s="166" t="s">
        <v>1105</v>
      </c>
      <c r="F2729" s="166">
        <v>824.92361111111165</v>
      </c>
    </row>
    <row r="2730" spans="1:6">
      <c r="A2730" s="403">
        <v>5134</v>
      </c>
      <c r="B2730" s="403">
        <v>33</v>
      </c>
      <c r="C2730" s="166">
        <v>1554</v>
      </c>
      <c r="D2730" s="166">
        <v>132</v>
      </c>
      <c r="E2730" s="166" t="s">
        <v>1105</v>
      </c>
      <c r="F2730" s="166">
        <v>824.92361111111165</v>
      </c>
    </row>
    <row r="2731" spans="1:6">
      <c r="A2731" s="403">
        <v>5136</v>
      </c>
      <c r="B2731" s="403">
        <v>33</v>
      </c>
      <c r="C2731" s="166">
        <v>1554</v>
      </c>
      <c r="D2731" s="166">
        <v>132</v>
      </c>
      <c r="E2731" s="166" t="s">
        <v>1105</v>
      </c>
      <c r="F2731" s="166">
        <v>824.92361111111165</v>
      </c>
    </row>
    <row r="2732" spans="1:6">
      <c r="A2732" s="403">
        <v>5137</v>
      </c>
      <c r="B2732" s="403">
        <v>33</v>
      </c>
      <c r="C2732" s="166">
        <v>1554</v>
      </c>
      <c r="D2732" s="166">
        <v>132</v>
      </c>
      <c r="E2732" s="166" t="s">
        <v>1105</v>
      </c>
      <c r="F2732" s="166">
        <v>824.92361111111165</v>
      </c>
    </row>
    <row r="2733" spans="1:6">
      <c r="A2733" s="403">
        <v>5138</v>
      </c>
      <c r="B2733" s="403">
        <v>33</v>
      </c>
      <c r="C2733" s="166">
        <v>1554</v>
      </c>
      <c r="D2733" s="166">
        <v>132</v>
      </c>
      <c r="E2733" s="166" t="s">
        <v>1105</v>
      </c>
      <c r="F2733" s="166">
        <v>824.92361111111165</v>
      </c>
    </row>
    <row r="2734" spans="1:6">
      <c r="A2734" s="403">
        <v>5139</v>
      </c>
      <c r="B2734" s="403">
        <v>33</v>
      </c>
      <c r="C2734" s="166">
        <v>1554</v>
      </c>
      <c r="D2734" s="166">
        <v>132</v>
      </c>
      <c r="E2734" s="166" t="s">
        <v>1105</v>
      </c>
      <c r="F2734" s="166">
        <v>824.92361111111165</v>
      </c>
    </row>
    <row r="2735" spans="1:6">
      <c r="A2735" s="403">
        <v>5140</v>
      </c>
      <c r="B2735" s="403">
        <v>33</v>
      </c>
      <c r="C2735" s="166">
        <v>1554</v>
      </c>
      <c r="D2735" s="166">
        <v>132</v>
      </c>
      <c r="E2735" s="166" t="s">
        <v>1105</v>
      </c>
      <c r="F2735" s="166">
        <v>824.92361111111165</v>
      </c>
    </row>
    <row r="2736" spans="1:6">
      <c r="A2736" s="403">
        <v>5141</v>
      </c>
      <c r="B2736" s="403">
        <v>33</v>
      </c>
      <c r="C2736" s="166">
        <v>1554</v>
      </c>
      <c r="D2736" s="166">
        <v>132</v>
      </c>
      <c r="E2736" s="166" t="s">
        <v>1105</v>
      </c>
      <c r="F2736" s="166">
        <v>824.92361111111165</v>
      </c>
    </row>
    <row r="2737" spans="1:6">
      <c r="A2737" s="403">
        <v>5142</v>
      </c>
      <c r="B2737" s="403">
        <v>33</v>
      </c>
      <c r="C2737" s="166">
        <v>1554</v>
      </c>
      <c r="D2737" s="166">
        <v>132</v>
      </c>
      <c r="E2737" s="166" t="s">
        <v>1105</v>
      </c>
      <c r="F2737" s="166">
        <v>824.92361111111165</v>
      </c>
    </row>
    <row r="2738" spans="1:6">
      <c r="A2738" s="403">
        <v>5144</v>
      </c>
      <c r="B2738" s="403">
        <v>33</v>
      </c>
      <c r="C2738" s="166">
        <v>1554</v>
      </c>
      <c r="D2738" s="166">
        <v>132</v>
      </c>
      <c r="E2738" s="166" t="s">
        <v>1105</v>
      </c>
      <c r="F2738" s="166">
        <v>824.92361111111165</v>
      </c>
    </row>
    <row r="2739" spans="1:6">
      <c r="A2739" s="403">
        <v>5150</v>
      </c>
      <c r="B2739" s="403">
        <v>33</v>
      </c>
      <c r="C2739" s="166">
        <v>1554</v>
      </c>
      <c r="D2739" s="166">
        <v>132</v>
      </c>
      <c r="E2739" s="166" t="s">
        <v>1105</v>
      </c>
      <c r="F2739" s="166">
        <v>824.92361111111165</v>
      </c>
    </row>
    <row r="2740" spans="1:6">
      <c r="A2740" s="403">
        <v>5151</v>
      </c>
      <c r="B2740" s="403">
        <v>33</v>
      </c>
      <c r="C2740" s="166">
        <v>1554</v>
      </c>
      <c r="D2740" s="166">
        <v>132</v>
      </c>
      <c r="E2740" s="166" t="s">
        <v>1105</v>
      </c>
      <c r="F2740" s="166">
        <v>824.92361111111165</v>
      </c>
    </row>
    <row r="2741" spans="1:6">
      <c r="A2741" s="403">
        <v>5152</v>
      </c>
      <c r="B2741" s="403">
        <v>33</v>
      </c>
      <c r="C2741" s="166">
        <v>1554</v>
      </c>
      <c r="D2741" s="166">
        <v>132</v>
      </c>
      <c r="E2741" s="166" t="s">
        <v>1105</v>
      </c>
      <c r="F2741" s="166">
        <v>824.92361111111165</v>
      </c>
    </row>
    <row r="2742" spans="1:6">
      <c r="A2742" s="403">
        <v>5153</v>
      </c>
      <c r="B2742" s="403">
        <v>33</v>
      </c>
      <c r="C2742" s="166">
        <v>1554</v>
      </c>
      <c r="D2742" s="166">
        <v>132</v>
      </c>
      <c r="E2742" s="166" t="s">
        <v>1105</v>
      </c>
      <c r="F2742" s="166">
        <v>824.92361111111165</v>
      </c>
    </row>
    <row r="2743" spans="1:6">
      <c r="A2743" s="403">
        <v>5154</v>
      </c>
      <c r="B2743" s="403">
        <v>33</v>
      </c>
      <c r="C2743" s="166">
        <v>1554</v>
      </c>
      <c r="D2743" s="166">
        <v>132</v>
      </c>
      <c r="E2743" s="166" t="s">
        <v>1105</v>
      </c>
      <c r="F2743" s="166">
        <v>824.92361111111165</v>
      </c>
    </row>
    <row r="2744" spans="1:6">
      <c r="A2744" s="403">
        <v>5155</v>
      </c>
      <c r="B2744" s="403">
        <v>33</v>
      </c>
      <c r="C2744" s="166">
        <v>1554</v>
      </c>
      <c r="D2744" s="166">
        <v>132</v>
      </c>
      <c r="E2744" s="166" t="s">
        <v>1105</v>
      </c>
      <c r="F2744" s="166">
        <v>824.92361111111165</v>
      </c>
    </row>
    <row r="2745" spans="1:6">
      <c r="A2745" s="403">
        <v>5156</v>
      </c>
      <c r="B2745" s="403">
        <v>33</v>
      </c>
      <c r="C2745" s="166">
        <v>1554</v>
      </c>
      <c r="D2745" s="166">
        <v>132</v>
      </c>
      <c r="E2745" s="166" t="s">
        <v>1105</v>
      </c>
      <c r="F2745" s="166">
        <v>824.92361111111165</v>
      </c>
    </row>
    <row r="2746" spans="1:6">
      <c r="A2746" s="403">
        <v>5157</v>
      </c>
      <c r="B2746" s="403">
        <v>33</v>
      </c>
      <c r="C2746" s="166">
        <v>1554</v>
      </c>
      <c r="D2746" s="166">
        <v>132</v>
      </c>
      <c r="E2746" s="166" t="s">
        <v>1105</v>
      </c>
      <c r="F2746" s="166">
        <v>824.92361111111165</v>
      </c>
    </row>
    <row r="2747" spans="1:6">
      <c r="A2747" s="403">
        <v>5158</v>
      </c>
      <c r="B2747" s="403">
        <v>33</v>
      </c>
      <c r="C2747" s="166">
        <v>1554</v>
      </c>
      <c r="D2747" s="166">
        <v>132</v>
      </c>
      <c r="E2747" s="166" t="s">
        <v>1105</v>
      </c>
      <c r="F2747" s="166">
        <v>824.92361111111165</v>
      </c>
    </row>
    <row r="2748" spans="1:6">
      <c r="A2748" s="403">
        <v>5159</v>
      </c>
      <c r="B2748" s="403">
        <v>33</v>
      </c>
      <c r="C2748" s="166">
        <v>1554</v>
      </c>
      <c r="D2748" s="166">
        <v>132</v>
      </c>
      <c r="E2748" s="166" t="s">
        <v>1105</v>
      </c>
      <c r="F2748" s="166">
        <v>824.92361111111165</v>
      </c>
    </row>
    <row r="2749" spans="1:6">
      <c r="A2749" s="403">
        <v>5160</v>
      </c>
      <c r="B2749" s="403">
        <v>33</v>
      </c>
      <c r="C2749" s="166">
        <v>1554</v>
      </c>
      <c r="D2749" s="166">
        <v>132</v>
      </c>
      <c r="E2749" s="166" t="s">
        <v>1105</v>
      </c>
      <c r="F2749" s="166">
        <v>824.92361111111165</v>
      </c>
    </row>
    <row r="2750" spans="1:6">
      <c r="A2750" s="403">
        <v>5161</v>
      </c>
      <c r="B2750" s="403">
        <v>33</v>
      </c>
      <c r="C2750" s="166">
        <v>1554</v>
      </c>
      <c r="D2750" s="166">
        <v>132</v>
      </c>
      <c r="E2750" s="166" t="s">
        <v>1105</v>
      </c>
      <c r="F2750" s="166">
        <v>824.92361111111165</v>
      </c>
    </row>
    <row r="2751" spans="1:6">
      <c r="A2751" s="403">
        <v>5162</v>
      </c>
      <c r="B2751" s="403">
        <v>33</v>
      </c>
      <c r="C2751" s="166">
        <v>1554</v>
      </c>
      <c r="D2751" s="166">
        <v>132</v>
      </c>
      <c r="E2751" s="166" t="s">
        <v>1105</v>
      </c>
      <c r="F2751" s="166">
        <v>824.92361111111165</v>
      </c>
    </row>
    <row r="2752" spans="1:6">
      <c r="A2752" s="403">
        <v>5163</v>
      </c>
      <c r="B2752" s="403">
        <v>33</v>
      </c>
      <c r="C2752" s="166">
        <v>1554</v>
      </c>
      <c r="D2752" s="166">
        <v>132</v>
      </c>
      <c r="E2752" s="166" t="s">
        <v>1105</v>
      </c>
      <c r="F2752" s="166">
        <v>824.92361111111165</v>
      </c>
    </row>
    <row r="2753" spans="1:6">
      <c r="A2753" s="403">
        <v>5164</v>
      </c>
      <c r="B2753" s="403">
        <v>33</v>
      </c>
      <c r="C2753" s="166">
        <v>1554</v>
      </c>
      <c r="D2753" s="166">
        <v>132</v>
      </c>
      <c r="E2753" s="166" t="s">
        <v>1105</v>
      </c>
      <c r="F2753" s="166">
        <v>824.92361111111165</v>
      </c>
    </row>
    <row r="2754" spans="1:6">
      <c r="A2754" s="403">
        <v>5165</v>
      </c>
      <c r="B2754" s="403">
        <v>33</v>
      </c>
      <c r="C2754" s="166">
        <v>1554</v>
      </c>
      <c r="D2754" s="166">
        <v>132</v>
      </c>
      <c r="E2754" s="166" t="s">
        <v>1105</v>
      </c>
      <c r="F2754" s="166">
        <v>824.92361111111165</v>
      </c>
    </row>
    <row r="2755" spans="1:6">
      <c r="A2755" s="403">
        <v>5166</v>
      </c>
      <c r="B2755" s="403">
        <v>33</v>
      </c>
      <c r="C2755" s="166">
        <v>1554</v>
      </c>
      <c r="D2755" s="166">
        <v>132</v>
      </c>
      <c r="E2755" s="166" t="s">
        <v>1105</v>
      </c>
      <c r="F2755" s="166">
        <v>824.92361111111165</v>
      </c>
    </row>
    <row r="2756" spans="1:6">
      <c r="A2756" s="403">
        <v>5167</v>
      </c>
      <c r="B2756" s="403">
        <v>33</v>
      </c>
      <c r="C2756" s="166">
        <v>1554</v>
      </c>
      <c r="D2756" s="166">
        <v>132</v>
      </c>
      <c r="E2756" s="166" t="s">
        <v>1105</v>
      </c>
      <c r="F2756" s="166">
        <v>824.92361111111165</v>
      </c>
    </row>
    <row r="2757" spans="1:6">
      <c r="A2757" s="403">
        <v>5168</v>
      </c>
      <c r="B2757" s="403">
        <v>33</v>
      </c>
      <c r="C2757" s="166">
        <v>1554</v>
      </c>
      <c r="D2757" s="166">
        <v>132</v>
      </c>
      <c r="E2757" s="166" t="s">
        <v>1105</v>
      </c>
      <c r="F2757" s="166">
        <v>824.92361111111165</v>
      </c>
    </row>
    <row r="2758" spans="1:6">
      <c r="A2758" s="403">
        <v>5169</v>
      </c>
      <c r="B2758" s="403">
        <v>33</v>
      </c>
      <c r="C2758" s="166">
        <v>1554</v>
      </c>
      <c r="D2758" s="166">
        <v>132</v>
      </c>
      <c r="E2758" s="166" t="s">
        <v>1105</v>
      </c>
      <c r="F2758" s="166">
        <v>824.92361111111165</v>
      </c>
    </row>
    <row r="2759" spans="1:6">
      <c r="A2759" s="403">
        <v>5170</v>
      </c>
      <c r="B2759" s="403">
        <v>33</v>
      </c>
      <c r="C2759" s="166">
        <v>1554</v>
      </c>
      <c r="D2759" s="166">
        <v>132</v>
      </c>
      <c r="E2759" s="166" t="s">
        <v>1105</v>
      </c>
      <c r="F2759" s="166">
        <v>824.92361111111165</v>
      </c>
    </row>
    <row r="2760" spans="1:6">
      <c r="A2760" s="403">
        <v>5171</v>
      </c>
      <c r="B2760" s="403">
        <v>33</v>
      </c>
      <c r="C2760" s="166">
        <v>1554</v>
      </c>
      <c r="D2760" s="166">
        <v>132</v>
      </c>
      <c r="E2760" s="166" t="s">
        <v>1105</v>
      </c>
      <c r="F2760" s="166">
        <v>824.92361111111165</v>
      </c>
    </row>
    <row r="2761" spans="1:6">
      <c r="A2761" s="403">
        <v>5172</v>
      </c>
      <c r="B2761" s="403">
        <v>33</v>
      </c>
      <c r="C2761" s="166">
        <v>1554</v>
      </c>
      <c r="D2761" s="166">
        <v>132</v>
      </c>
      <c r="E2761" s="166" t="s">
        <v>1105</v>
      </c>
      <c r="F2761" s="166">
        <v>824.92361111111165</v>
      </c>
    </row>
    <row r="2762" spans="1:6">
      <c r="A2762" s="403">
        <v>5173</v>
      </c>
      <c r="B2762" s="403">
        <v>33</v>
      </c>
      <c r="C2762" s="166">
        <v>1554</v>
      </c>
      <c r="D2762" s="166">
        <v>132</v>
      </c>
      <c r="E2762" s="166" t="s">
        <v>1105</v>
      </c>
      <c r="F2762" s="166">
        <v>824.92361111111165</v>
      </c>
    </row>
    <row r="2763" spans="1:6">
      <c r="A2763" s="403">
        <v>5174</v>
      </c>
      <c r="B2763" s="403">
        <v>33</v>
      </c>
      <c r="C2763" s="166">
        <v>1554</v>
      </c>
      <c r="D2763" s="166">
        <v>132</v>
      </c>
      <c r="E2763" s="166" t="s">
        <v>1105</v>
      </c>
      <c r="F2763" s="166">
        <v>824.92361111111165</v>
      </c>
    </row>
    <row r="2764" spans="1:6">
      <c r="A2764" s="403">
        <v>5201</v>
      </c>
      <c r="B2764" s="403">
        <v>33</v>
      </c>
      <c r="C2764" s="166">
        <v>1554</v>
      </c>
      <c r="D2764" s="166">
        <v>132</v>
      </c>
      <c r="E2764" s="166" t="s">
        <v>1105</v>
      </c>
      <c r="F2764" s="166">
        <v>824.92361111111165</v>
      </c>
    </row>
    <row r="2765" spans="1:6">
      <c r="A2765" s="403">
        <v>5202</v>
      </c>
      <c r="B2765" s="403">
        <v>33</v>
      </c>
      <c r="C2765" s="166">
        <v>1554</v>
      </c>
      <c r="D2765" s="166">
        <v>132</v>
      </c>
      <c r="E2765" s="166" t="s">
        <v>1105</v>
      </c>
      <c r="F2765" s="166">
        <v>824.92361111111165</v>
      </c>
    </row>
    <row r="2766" spans="1:6">
      <c r="A2766" s="403">
        <v>5203</v>
      </c>
      <c r="B2766" s="403">
        <v>33</v>
      </c>
      <c r="C2766" s="166">
        <v>1554</v>
      </c>
      <c r="D2766" s="166">
        <v>132</v>
      </c>
      <c r="E2766" s="166" t="s">
        <v>1105</v>
      </c>
      <c r="F2766" s="166">
        <v>824.92361111111165</v>
      </c>
    </row>
    <row r="2767" spans="1:6">
      <c r="A2767" s="403">
        <v>5204</v>
      </c>
      <c r="B2767" s="403">
        <v>33</v>
      </c>
      <c r="C2767" s="166">
        <v>1554</v>
      </c>
      <c r="D2767" s="166">
        <v>132</v>
      </c>
      <c r="E2767" s="166" t="s">
        <v>1105</v>
      </c>
      <c r="F2767" s="166">
        <v>824.92361111111165</v>
      </c>
    </row>
    <row r="2768" spans="1:6">
      <c r="A2768" s="403">
        <v>5210</v>
      </c>
      <c r="B2768" s="403">
        <v>33</v>
      </c>
      <c r="C2768" s="166">
        <v>1554</v>
      </c>
      <c r="D2768" s="166">
        <v>132</v>
      </c>
      <c r="E2768" s="166" t="s">
        <v>1105</v>
      </c>
      <c r="F2768" s="166">
        <v>824.92361111111165</v>
      </c>
    </row>
    <row r="2769" spans="1:6">
      <c r="A2769" s="403">
        <v>5211</v>
      </c>
      <c r="B2769" s="403">
        <v>33</v>
      </c>
      <c r="C2769" s="166">
        <v>1554</v>
      </c>
      <c r="D2769" s="166">
        <v>132</v>
      </c>
      <c r="E2769" s="166" t="s">
        <v>1105</v>
      </c>
      <c r="F2769" s="166">
        <v>824.92361111111165</v>
      </c>
    </row>
    <row r="2770" spans="1:6">
      <c r="A2770" s="403">
        <v>5212</v>
      </c>
      <c r="B2770" s="403">
        <v>33</v>
      </c>
      <c r="C2770" s="166">
        <v>1554</v>
      </c>
      <c r="D2770" s="166">
        <v>132</v>
      </c>
      <c r="E2770" s="166" t="s">
        <v>1105</v>
      </c>
      <c r="F2770" s="166">
        <v>824.92361111111165</v>
      </c>
    </row>
    <row r="2771" spans="1:6">
      <c r="A2771" s="403">
        <v>5213</v>
      </c>
      <c r="B2771" s="403">
        <v>33</v>
      </c>
      <c r="C2771" s="166">
        <v>1554</v>
      </c>
      <c r="D2771" s="166">
        <v>132</v>
      </c>
      <c r="E2771" s="166" t="s">
        <v>1105</v>
      </c>
      <c r="F2771" s="166">
        <v>824.92361111111165</v>
      </c>
    </row>
    <row r="2772" spans="1:6">
      <c r="A2772" s="403">
        <v>5214</v>
      </c>
      <c r="B2772" s="403">
        <v>33</v>
      </c>
      <c r="C2772" s="166">
        <v>1554</v>
      </c>
      <c r="D2772" s="166">
        <v>132</v>
      </c>
      <c r="E2772" s="166" t="s">
        <v>1105</v>
      </c>
      <c r="F2772" s="166">
        <v>824.92361111111165</v>
      </c>
    </row>
    <row r="2773" spans="1:6">
      <c r="A2773" s="403">
        <v>5220</v>
      </c>
      <c r="B2773" s="403">
        <v>33</v>
      </c>
      <c r="C2773" s="166">
        <v>1554</v>
      </c>
      <c r="D2773" s="166">
        <v>132</v>
      </c>
      <c r="E2773" s="166" t="s">
        <v>1105</v>
      </c>
      <c r="F2773" s="166">
        <v>824.92361111111165</v>
      </c>
    </row>
    <row r="2774" spans="1:6">
      <c r="A2774" s="403">
        <v>5221</v>
      </c>
      <c r="B2774" s="403">
        <v>33</v>
      </c>
      <c r="C2774" s="166">
        <v>1554</v>
      </c>
      <c r="D2774" s="166">
        <v>132</v>
      </c>
      <c r="E2774" s="166" t="s">
        <v>1105</v>
      </c>
      <c r="F2774" s="166">
        <v>824.92361111111165</v>
      </c>
    </row>
    <row r="2775" spans="1:6">
      <c r="A2775" s="403">
        <v>5222</v>
      </c>
      <c r="B2775" s="403">
        <v>33</v>
      </c>
      <c r="C2775" s="166">
        <v>1554</v>
      </c>
      <c r="D2775" s="166">
        <v>132</v>
      </c>
      <c r="E2775" s="166" t="s">
        <v>1105</v>
      </c>
      <c r="F2775" s="166">
        <v>824.92361111111165</v>
      </c>
    </row>
    <row r="2776" spans="1:6">
      <c r="A2776" s="403">
        <v>5223</v>
      </c>
      <c r="B2776" s="403">
        <v>33</v>
      </c>
      <c r="C2776" s="166">
        <v>1554</v>
      </c>
      <c r="D2776" s="166">
        <v>132</v>
      </c>
      <c r="E2776" s="166" t="s">
        <v>1105</v>
      </c>
      <c r="F2776" s="166">
        <v>824.92361111111165</v>
      </c>
    </row>
    <row r="2777" spans="1:6">
      <c r="A2777" s="403">
        <v>5231</v>
      </c>
      <c r="B2777" s="403">
        <v>33</v>
      </c>
      <c r="C2777" s="166">
        <v>1554</v>
      </c>
      <c r="D2777" s="166">
        <v>132</v>
      </c>
      <c r="E2777" s="166" t="s">
        <v>1105</v>
      </c>
      <c r="F2777" s="166">
        <v>824.92361111111165</v>
      </c>
    </row>
    <row r="2778" spans="1:6">
      <c r="A2778" s="403">
        <v>5232</v>
      </c>
      <c r="B2778" s="403">
        <v>33</v>
      </c>
      <c r="C2778" s="166">
        <v>1554</v>
      </c>
      <c r="D2778" s="166">
        <v>132</v>
      </c>
      <c r="E2778" s="166" t="s">
        <v>1105</v>
      </c>
      <c r="F2778" s="166">
        <v>824.92361111111165</v>
      </c>
    </row>
    <row r="2779" spans="1:6">
      <c r="A2779" s="403">
        <v>5233</v>
      </c>
      <c r="B2779" s="403">
        <v>33</v>
      </c>
      <c r="C2779" s="166">
        <v>1554</v>
      </c>
      <c r="D2779" s="166">
        <v>132</v>
      </c>
      <c r="E2779" s="166" t="s">
        <v>1105</v>
      </c>
      <c r="F2779" s="166">
        <v>824.92361111111165</v>
      </c>
    </row>
    <row r="2780" spans="1:6">
      <c r="A2780" s="403">
        <v>5234</v>
      </c>
      <c r="B2780" s="403">
        <v>33</v>
      </c>
      <c r="C2780" s="166">
        <v>1554</v>
      </c>
      <c r="D2780" s="166">
        <v>132</v>
      </c>
      <c r="E2780" s="166" t="s">
        <v>1105</v>
      </c>
      <c r="F2780" s="166">
        <v>824.92361111111165</v>
      </c>
    </row>
    <row r="2781" spans="1:6">
      <c r="A2781" s="403">
        <v>5235</v>
      </c>
      <c r="B2781" s="403">
        <v>33</v>
      </c>
      <c r="C2781" s="166">
        <v>1554</v>
      </c>
      <c r="D2781" s="166">
        <v>132</v>
      </c>
      <c r="E2781" s="166" t="s">
        <v>1105</v>
      </c>
      <c r="F2781" s="166">
        <v>824.92361111111165</v>
      </c>
    </row>
    <row r="2782" spans="1:6">
      <c r="A2782" s="403">
        <v>5236</v>
      </c>
      <c r="B2782" s="403">
        <v>33</v>
      </c>
      <c r="C2782" s="166">
        <v>1554</v>
      </c>
      <c r="D2782" s="166">
        <v>132</v>
      </c>
      <c r="E2782" s="166" t="s">
        <v>1105</v>
      </c>
      <c r="F2782" s="166">
        <v>824.92361111111165</v>
      </c>
    </row>
    <row r="2783" spans="1:6">
      <c r="A2783" s="403">
        <v>5237</v>
      </c>
      <c r="B2783" s="403">
        <v>33</v>
      </c>
      <c r="C2783" s="166">
        <v>1554</v>
      </c>
      <c r="D2783" s="166">
        <v>132</v>
      </c>
      <c r="E2783" s="166" t="s">
        <v>1105</v>
      </c>
      <c r="F2783" s="166">
        <v>824.92361111111165</v>
      </c>
    </row>
    <row r="2784" spans="1:6">
      <c r="A2784" s="403">
        <v>5238</v>
      </c>
      <c r="B2784" s="403">
        <v>33</v>
      </c>
      <c r="C2784" s="166">
        <v>1554</v>
      </c>
      <c r="D2784" s="166">
        <v>132</v>
      </c>
      <c r="E2784" s="166" t="s">
        <v>1105</v>
      </c>
      <c r="F2784" s="166">
        <v>824.92361111111165</v>
      </c>
    </row>
    <row r="2785" spans="1:6">
      <c r="A2785" s="403">
        <v>5240</v>
      </c>
      <c r="B2785" s="403">
        <v>33</v>
      </c>
      <c r="C2785" s="166">
        <v>1554</v>
      </c>
      <c r="D2785" s="166">
        <v>132</v>
      </c>
      <c r="E2785" s="166" t="s">
        <v>1105</v>
      </c>
      <c r="F2785" s="166">
        <v>824.92361111111165</v>
      </c>
    </row>
    <row r="2786" spans="1:6">
      <c r="A2786" s="403">
        <v>5241</v>
      </c>
      <c r="B2786" s="403">
        <v>33</v>
      </c>
      <c r="C2786" s="166">
        <v>1554</v>
      </c>
      <c r="D2786" s="166">
        <v>132</v>
      </c>
      <c r="E2786" s="166" t="s">
        <v>1105</v>
      </c>
      <c r="F2786" s="166">
        <v>824.92361111111165</v>
      </c>
    </row>
    <row r="2787" spans="1:6">
      <c r="A2787" s="403">
        <v>5242</v>
      </c>
      <c r="B2787" s="403">
        <v>33</v>
      </c>
      <c r="C2787" s="166">
        <v>1554</v>
      </c>
      <c r="D2787" s="166">
        <v>132</v>
      </c>
      <c r="E2787" s="166" t="s">
        <v>1105</v>
      </c>
      <c r="F2787" s="166">
        <v>824.92361111111165</v>
      </c>
    </row>
    <row r="2788" spans="1:6">
      <c r="A2788" s="403">
        <v>5243</v>
      </c>
      <c r="B2788" s="403">
        <v>33</v>
      </c>
      <c r="C2788" s="166">
        <v>1554</v>
      </c>
      <c r="D2788" s="166">
        <v>132</v>
      </c>
      <c r="E2788" s="166" t="s">
        <v>1105</v>
      </c>
      <c r="F2788" s="166">
        <v>824.92361111111165</v>
      </c>
    </row>
    <row r="2789" spans="1:6">
      <c r="A2789" s="403">
        <v>5244</v>
      </c>
      <c r="B2789" s="403">
        <v>33</v>
      </c>
      <c r="C2789" s="166">
        <v>1554</v>
      </c>
      <c r="D2789" s="166">
        <v>132</v>
      </c>
      <c r="E2789" s="166" t="s">
        <v>1105</v>
      </c>
      <c r="F2789" s="166">
        <v>824.92361111111165</v>
      </c>
    </row>
    <row r="2790" spans="1:6">
      <c r="A2790" s="403">
        <v>5245</v>
      </c>
      <c r="B2790" s="403">
        <v>33</v>
      </c>
      <c r="C2790" s="166">
        <v>1554</v>
      </c>
      <c r="D2790" s="166">
        <v>132</v>
      </c>
      <c r="E2790" s="166" t="s">
        <v>1105</v>
      </c>
      <c r="F2790" s="166">
        <v>824.92361111111165</v>
      </c>
    </row>
    <row r="2791" spans="1:6">
      <c r="A2791" s="403">
        <v>5250</v>
      </c>
      <c r="B2791" s="403">
        <v>33</v>
      </c>
      <c r="C2791" s="166">
        <v>1554</v>
      </c>
      <c r="D2791" s="166">
        <v>132</v>
      </c>
      <c r="E2791" s="166" t="s">
        <v>1105</v>
      </c>
      <c r="F2791" s="166">
        <v>824.92361111111165</v>
      </c>
    </row>
    <row r="2792" spans="1:6">
      <c r="A2792" s="403">
        <v>5251</v>
      </c>
      <c r="B2792" s="403">
        <v>33</v>
      </c>
      <c r="C2792" s="166">
        <v>1554</v>
      </c>
      <c r="D2792" s="166">
        <v>132</v>
      </c>
      <c r="E2792" s="166" t="s">
        <v>1105</v>
      </c>
      <c r="F2792" s="166">
        <v>824.92361111111165</v>
      </c>
    </row>
    <row r="2793" spans="1:6">
      <c r="A2793" s="403">
        <v>5252</v>
      </c>
      <c r="B2793" s="403">
        <v>33</v>
      </c>
      <c r="C2793" s="166">
        <v>1554</v>
      </c>
      <c r="D2793" s="166">
        <v>132</v>
      </c>
      <c r="E2793" s="166" t="s">
        <v>1105</v>
      </c>
      <c r="F2793" s="166">
        <v>824.92361111111165</v>
      </c>
    </row>
    <row r="2794" spans="1:6">
      <c r="A2794" s="403">
        <v>5253</v>
      </c>
      <c r="B2794" s="403">
        <v>33</v>
      </c>
      <c r="C2794" s="166">
        <v>1554</v>
      </c>
      <c r="D2794" s="166">
        <v>132</v>
      </c>
      <c r="E2794" s="166" t="s">
        <v>1105</v>
      </c>
      <c r="F2794" s="166">
        <v>824.92361111111165</v>
      </c>
    </row>
    <row r="2795" spans="1:6">
      <c r="A2795" s="403">
        <v>5254</v>
      </c>
      <c r="B2795" s="403">
        <v>33</v>
      </c>
      <c r="C2795" s="166">
        <v>1554</v>
      </c>
      <c r="D2795" s="166">
        <v>132</v>
      </c>
      <c r="E2795" s="166" t="s">
        <v>1105</v>
      </c>
      <c r="F2795" s="166">
        <v>824.92361111111165</v>
      </c>
    </row>
    <row r="2796" spans="1:6">
      <c r="A2796" s="403">
        <v>5255</v>
      </c>
      <c r="B2796" s="403">
        <v>33</v>
      </c>
      <c r="C2796" s="166">
        <v>1554</v>
      </c>
      <c r="D2796" s="166">
        <v>132</v>
      </c>
      <c r="E2796" s="166" t="s">
        <v>1105</v>
      </c>
      <c r="F2796" s="166">
        <v>824.92361111111165</v>
      </c>
    </row>
    <row r="2797" spans="1:6">
      <c r="A2797" s="403">
        <v>5256</v>
      </c>
      <c r="B2797" s="403">
        <v>33</v>
      </c>
      <c r="C2797" s="166">
        <v>1554</v>
      </c>
      <c r="D2797" s="166">
        <v>132</v>
      </c>
      <c r="E2797" s="166" t="s">
        <v>1105</v>
      </c>
      <c r="F2797" s="166">
        <v>824.92361111111165</v>
      </c>
    </row>
    <row r="2798" spans="1:6">
      <c r="A2798" s="403">
        <v>5259</v>
      </c>
      <c r="B2798" s="403">
        <v>34</v>
      </c>
      <c r="C2798" s="166">
        <v>1258</v>
      </c>
      <c r="D2798" s="166">
        <v>173</v>
      </c>
      <c r="E2798" s="166" t="s">
        <v>1105</v>
      </c>
      <c r="F2798" s="166">
        <v>1467.5582142857133</v>
      </c>
    </row>
    <row r="2799" spans="1:6">
      <c r="A2799" s="403">
        <v>5260</v>
      </c>
      <c r="B2799" s="403">
        <v>34</v>
      </c>
      <c r="C2799" s="166">
        <v>1258</v>
      </c>
      <c r="D2799" s="166">
        <v>173</v>
      </c>
      <c r="E2799" s="166" t="s">
        <v>1105</v>
      </c>
      <c r="F2799" s="166">
        <v>1467.5582142857133</v>
      </c>
    </row>
    <row r="2800" spans="1:6">
      <c r="A2800" s="403">
        <v>5261</v>
      </c>
      <c r="B2800" s="403">
        <v>34</v>
      </c>
      <c r="C2800" s="166">
        <v>1258</v>
      </c>
      <c r="D2800" s="166">
        <v>173</v>
      </c>
      <c r="E2800" s="166" t="s">
        <v>1105</v>
      </c>
      <c r="F2800" s="166">
        <v>1467.5582142857133</v>
      </c>
    </row>
    <row r="2801" spans="1:6">
      <c r="A2801" s="403">
        <v>5262</v>
      </c>
      <c r="B2801" s="403">
        <v>35</v>
      </c>
      <c r="C2801" s="166">
        <v>1813</v>
      </c>
      <c r="D2801" s="166">
        <v>61</v>
      </c>
      <c r="E2801" s="166" t="s">
        <v>1105</v>
      </c>
      <c r="F2801" s="166">
        <v>673.46954781912689</v>
      </c>
    </row>
    <row r="2802" spans="1:6">
      <c r="A2802" s="403">
        <v>5263</v>
      </c>
      <c r="B2802" s="403">
        <v>35</v>
      </c>
      <c r="C2802" s="166">
        <v>1813</v>
      </c>
      <c r="D2802" s="166">
        <v>61</v>
      </c>
      <c r="E2802" s="166" t="s">
        <v>1105</v>
      </c>
      <c r="F2802" s="166">
        <v>673.46954781912689</v>
      </c>
    </row>
    <row r="2803" spans="1:6">
      <c r="A2803" s="403">
        <v>5264</v>
      </c>
      <c r="B2803" s="403">
        <v>34</v>
      </c>
      <c r="C2803" s="166">
        <v>1258</v>
      </c>
      <c r="D2803" s="166">
        <v>173</v>
      </c>
      <c r="E2803" s="166" t="s">
        <v>1105</v>
      </c>
      <c r="F2803" s="166">
        <v>1467.5582142857133</v>
      </c>
    </row>
    <row r="2804" spans="1:6">
      <c r="A2804" s="403">
        <v>5265</v>
      </c>
      <c r="B2804" s="403">
        <v>34</v>
      </c>
      <c r="C2804" s="166">
        <v>1258</v>
      </c>
      <c r="D2804" s="166">
        <v>173</v>
      </c>
      <c r="E2804" s="166" t="s">
        <v>1105</v>
      </c>
      <c r="F2804" s="166">
        <v>1467.5582142857133</v>
      </c>
    </row>
    <row r="2805" spans="1:6">
      <c r="A2805" s="403">
        <v>5266</v>
      </c>
      <c r="B2805" s="403">
        <v>34</v>
      </c>
      <c r="C2805" s="166">
        <v>1258</v>
      </c>
      <c r="D2805" s="166">
        <v>173</v>
      </c>
      <c r="E2805" s="166" t="s">
        <v>1105</v>
      </c>
      <c r="F2805" s="166">
        <v>1467.5582142857133</v>
      </c>
    </row>
    <row r="2806" spans="1:6">
      <c r="A2806" s="403">
        <v>5267</v>
      </c>
      <c r="B2806" s="403">
        <v>35</v>
      </c>
      <c r="C2806" s="166">
        <v>1813</v>
      </c>
      <c r="D2806" s="166">
        <v>61</v>
      </c>
      <c r="E2806" s="166" t="s">
        <v>1105</v>
      </c>
      <c r="F2806" s="166">
        <v>673.46954781912689</v>
      </c>
    </row>
    <row r="2807" spans="1:6">
      <c r="A2807" s="403">
        <v>5268</v>
      </c>
      <c r="B2807" s="403">
        <v>35</v>
      </c>
      <c r="C2807" s="166">
        <v>1813</v>
      </c>
      <c r="D2807" s="166">
        <v>61</v>
      </c>
      <c r="E2807" s="166" t="s">
        <v>1105</v>
      </c>
      <c r="F2807" s="166">
        <v>673.46954781912689</v>
      </c>
    </row>
    <row r="2808" spans="1:6">
      <c r="A2808" s="403">
        <v>5269</v>
      </c>
      <c r="B2808" s="403">
        <v>35</v>
      </c>
      <c r="C2808" s="166">
        <v>1813</v>
      </c>
      <c r="D2808" s="166">
        <v>61</v>
      </c>
      <c r="E2808" s="166" t="s">
        <v>1105</v>
      </c>
      <c r="F2808" s="166">
        <v>673.46954781912689</v>
      </c>
    </row>
    <row r="2809" spans="1:6">
      <c r="A2809" s="403">
        <v>5270</v>
      </c>
      <c r="B2809" s="403">
        <v>35</v>
      </c>
      <c r="C2809" s="166">
        <v>1813</v>
      </c>
      <c r="D2809" s="166">
        <v>61</v>
      </c>
      <c r="E2809" s="166" t="s">
        <v>1105</v>
      </c>
      <c r="F2809" s="166">
        <v>673.46954781912689</v>
      </c>
    </row>
    <row r="2810" spans="1:6">
      <c r="A2810" s="403">
        <v>5271</v>
      </c>
      <c r="B2810" s="403">
        <v>35</v>
      </c>
      <c r="C2810" s="166">
        <v>1813</v>
      </c>
      <c r="D2810" s="166">
        <v>61</v>
      </c>
      <c r="E2810" s="166" t="s">
        <v>1105</v>
      </c>
      <c r="F2810" s="166">
        <v>673.46954781912689</v>
      </c>
    </row>
    <row r="2811" spans="1:6">
      <c r="A2811" s="403">
        <v>5272</v>
      </c>
      <c r="B2811" s="403">
        <v>35</v>
      </c>
      <c r="C2811" s="166">
        <v>1813</v>
      </c>
      <c r="D2811" s="166">
        <v>61</v>
      </c>
      <c r="E2811" s="166" t="s">
        <v>1105</v>
      </c>
      <c r="F2811" s="166">
        <v>673.46954781912689</v>
      </c>
    </row>
    <row r="2812" spans="1:6">
      <c r="A2812" s="403">
        <v>5273</v>
      </c>
      <c r="B2812" s="403">
        <v>35</v>
      </c>
      <c r="C2812" s="166">
        <v>1813</v>
      </c>
      <c r="D2812" s="166">
        <v>61</v>
      </c>
      <c r="E2812" s="166" t="s">
        <v>1105</v>
      </c>
      <c r="F2812" s="166">
        <v>673.46954781912689</v>
      </c>
    </row>
    <row r="2813" spans="1:6">
      <c r="A2813" s="403">
        <v>5275</v>
      </c>
      <c r="B2813" s="403">
        <v>35</v>
      </c>
      <c r="C2813" s="166">
        <v>1813</v>
      </c>
      <c r="D2813" s="166">
        <v>61</v>
      </c>
      <c r="E2813" s="166" t="s">
        <v>1105</v>
      </c>
      <c r="F2813" s="166">
        <v>673.46954781912689</v>
      </c>
    </row>
    <row r="2814" spans="1:6">
      <c r="A2814" s="403">
        <v>5276</v>
      </c>
      <c r="B2814" s="403">
        <v>35</v>
      </c>
      <c r="C2814" s="166">
        <v>1813</v>
      </c>
      <c r="D2814" s="166">
        <v>61</v>
      </c>
      <c r="E2814" s="166" t="s">
        <v>1105</v>
      </c>
      <c r="F2814" s="166">
        <v>673.46954781912689</v>
      </c>
    </row>
    <row r="2815" spans="1:6">
      <c r="A2815" s="403">
        <v>5277</v>
      </c>
      <c r="B2815" s="403">
        <v>35</v>
      </c>
      <c r="C2815" s="166">
        <v>1813</v>
      </c>
      <c r="D2815" s="166">
        <v>61</v>
      </c>
      <c r="E2815" s="166" t="s">
        <v>1105</v>
      </c>
      <c r="F2815" s="166">
        <v>673.46954781912689</v>
      </c>
    </row>
    <row r="2816" spans="1:6">
      <c r="A2816" s="403">
        <v>5278</v>
      </c>
      <c r="B2816" s="403">
        <v>35</v>
      </c>
      <c r="C2816" s="166">
        <v>1813</v>
      </c>
      <c r="D2816" s="166">
        <v>61</v>
      </c>
      <c r="E2816" s="166" t="s">
        <v>1105</v>
      </c>
      <c r="F2816" s="166">
        <v>673.46954781912689</v>
      </c>
    </row>
    <row r="2817" spans="1:6">
      <c r="A2817" s="403">
        <v>5279</v>
      </c>
      <c r="B2817" s="403">
        <v>35</v>
      </c>
      <c r="C2817" s="166">
        <v>1813</v>
      </c>
      <c r="D2817" s="166">
        <v>61</v>
      </c>
      <c r="E2817" s="166" t="s">
        <v>1105</v>
      </c>
      <c r="F2817" s="166">
        <v>673.46954781912689</v>
      </c>
    </row>
    <row r="2818" spans="1:6">
      <c r="A2818" s="403">
        <v>5280</v>
      </c>
      <c r="B2818" s="403">
        <v>35</v>
      </c>
      <c r="C2818" s="166">
        <v>1813</v>
      </c>
      <c r="D2818" s="166">
        <v>61</v>
      </c>
      <c r="E2818" s="166" t="s">
        <v>1105</v>
      </c>
      <c r="F2818" s="166">
        <v>673.46954781912689</v>
      </c>
    </row>
    <row r="2819" spans="1:6">
      <c r="A2819" s="403">
        <v>5290</v>
      </c>
      <c r="B2819" s="403">
        <v>35</v>
      </c>
      <c r="C2819" s="166">
        <v>1813</v>
      </c>
      <c r="D2819" s="166">
        <v>61</v>
      </c>
      <c r="E2819" s="166" t="s">
        <v>1105</v>
      </c>
      <c r="F2819" s="166">
        <v>673.46954781912689</v>
      </c>
    </row>
    <row r="2820" spans="1:6">
      <c r="A2820" s="403">
        <v>5291</v>
      </c>
      <c r="B2820" s="403">
        <v>35</v>
      </c>
      <c r="C2820" s="166">
        <v>1813</v>
      </c>
      <c r="D2820" s="166">
        <v>61</v>
      </c>
      <c r="E2820" s="166" t="s">
        <v>1105</v>
      </c>
      <c r="F2820" s="166">
        <v>673.46954781912689</v>
      </c>
    </row>
    <row r="2821" spans="1:6">
      <c r="A2821" s="403">
        <v>5301</v>
      </c>
      <c r="B2821" s="403">
        <v>34</v>
      </c>
      <c r="C2821" s="166">
        <v>1258</v>
      </c>
      <c r="D2821" s="166">
        <v>173</v>
      </c>
      <c r="E2821" s="166" t="s">
        <v>1105</v>
      </c>
      <c r="F2821" s="166">
        <v>1467.5582142857133</v>
      </c>
    </row>
    <row r="2822" spans="1:6">
      <c r="A2822" s="403">
        <v>5302</v>
      </c>
      <c r="B2822" s="403">
        <v>34</v>
      </c>
      <c r="C2822" s="166">
        <v>1258</v>
      </c>
      <c r="D2822" s="166">
        <v>173</v>
      </c>
      <c r="E2822" s="166" t="s">
        <v>1105</v>
      </c>
      <c r="F2822" s="166">
        <v>1467.5582142857133</v>
      </c>
    </row>
    <row r="2823" spans="1:6">
      <c r="A2823" s="403">
        <v>5303</v>
      </c>
      <c r="B2823" s="403">
        <v>33</v>
      </c>
      <c r="C2823" s="166">
        <v>1554</v>
      </c>
      <c r="D2823" s="166">
        <v>132</v>
      </c>
      <c r="E2823" s="166" t="s">
        <v>1105</v>
      </c>
      <c r="F2823" s="166">
        <v>824.92361111111165</v>
      </c>
    </row>
    <row r="2824" spans="1:6">
      <c r="A2824" s="403">
        <v>5304</v>
      </c>
      <c r="B2824" s="403">
        <v>34</v>
      </c>
      <c r="C2824" s="166">
        <v>1258</v>
      </c>
      <c r="D2824" s="166">
        <v>173</v>
      </c>
      <c r="E2824" s="166" t="s">
        <v>1105</v>
      </c>
      <c r="F2824" s="166">
        <v>1467.5582142857133</v>
      </c>
    </row>
    <row r="2825" spans="1:6">
      <c r="A2825" s="403">
        <v>5306</v>
      </c>
      <c r="B2825" s="403">
        <v>34</v>
      </c>
      <c r="C2825" s="166">
        <v>1258</v>
      </c>
      <c r="D2825" s="166">
        <v>173</v>
      </c>
      <c r="E2825" s="166" t="s">
        <v>1105</v>
      </c>
      <c r="F2825" s="166">
        <v>1467.5582142857133</v>
      </c>
    </row>
    <row r="2826" spans="1:6">
      <c r="A2826" s="403">
        <v>5307</v>
      </c>
      <c r="B2826" s="403">
        <v>34</v>
      </c>
      <c r="C2826" s="166">
        <v>1258</v>
      </c>
      <c r="D2826" s="166">
        <v>173</v>
      </c>
      <c r="E2826" s="166" t="s">
        <v>1105</v>
      </c>
      <c r="F2826" s="166">
        <v>1467.5582142857133</v>
      </c>
    </row>
    <row r="2827" spans="1:6">
      <c r="A2827" s="403">
        <v>5308</v>
      </c>
      <c r="B2827" s="403">
        <v>34</v>
      </c>
      <c r="C2827" s="166">
        <v>1258</v>
      </c>
      <c r="D2827" s="166">
        <v>173</v>
      </c>
      <c r="E2827" s="166" t="s">
        <v>1105</v>
      </c>
      <c r="F2827" s="166">
        <v>1467.5582142857133</v>
      </c>
    </row>
    <row r="2828" spans="1:6">
      <c r="A2828" s="403">
        <v>5309</v>
      </c>
      <c r="B2828" s="403">
        <v>34</v>
      </c>
      <c r="C2828" s="166">
        <v>1258</v>
      </c>
      <c r="D2828" s="166">
        <v>173</v>
      </c>
      <c r="E2828" s="166" t="s">
        <v>1105</v>
      </c>
      <c r="F2828" s="166">
        <v>1467.5582142857133</v>
      </c>
    </row>
    <row r="2829" spans="1:6">
      <c r="A2829" s="403">
        <v>5310</v>
      </c>
      <c r="B2829" s="403">
        <v>34</v>
      </c>
      <c r="C2829" s="166">
        <v>1258</v>
      </c>
      <c r="D2829" s="166">
        <v>173</v>
      </c>
      <c r="E2829" s="166" t="s">
        <v>1105</v>
      </c>
      <c r="F2829" s="166">
        <v>1467.5582142857133</v>
      </c>
    </row>
    <row r="2830" spans="1:6">
      <c r="A2830" s="403">
        <v>5311</v>
      </c>
      <c r="B2830" s="403">
        <v>34</v>
      </c>
      <c r="C2830" s="166">
        <v>1258</v>
      </c>
      <c r="D2830" s="166">
        <v>173</v>
      </c>
      <c r="E2830" s="166" t="s">
        <v>1105</v>
      </c>
      <c r="F2830" s="166">
        <v>1467.5582142857133</v>
      </c>
    </row>
    <row r="2831" spans="1:6">
      <c r="A2831" s="403">
        <v>5312</v>
      </c>
      <c r="B2831" s="403">
        <v>34</v>
      </c>
      <c r="C2831" s="166">
        <v>1258</v>
      </c>
      <c r="D2831" s="166">
        <v>173</v>
      </c>
      <c r="E2831" s="166" t="s">
        <v>1105</v>
      </c>
      <c r="F2831" s="166">
        <v>1467.5582142857133</v>
      </c>
    </row>
    <row r="2832" spans="1:6">
      <c r="A2832" s="403">
        <v>5320</v>
      </c>
      <c r="B2832" s="403">
        <v>34</v>
      </c>
      <c r="C2832" s="166">
        <v>1258</v>
      </c>
      <c r="D2832" s="166">
        <v>173</v>
      </c>
      <c r="E2832" s="166" t="s">
        <v>1105</v>
      </c>
      <c r="F2832" s="166">
        <v>1467.5582142857133</v>
      </c>
    </row>
    <row r="2833" spans="1:6">
      <c r="A2833" s="403">
        <v>5321</v>
      </c>
      <c r="B2833" s="403">
        <v>34</v>
      </c>
      <c r="C2833" s="166">
        <v>1258</v>
      </c>
      <c r="D2833" s="166">
        <v>173</v>
      </c>
      <c r="E2833" s="166" t="s">
        <v>1105</v>
      </c>
      <c r="F2833" s="166">
        <v>1467.5582142857133</v>
      </c>
    </row>
    <row r="2834" spans="1:6">
      <c r="A2834" s="403">
        <v>5322</v>
      </c>
      <c r="B2834" s="403">
        <v>34</v>
      </c>
      <c r="C2834" s="166">
        <v>1258</v>
      </c>
      <c r="D2834" s="166">
        <v>173</v>
      </c>
      <c r="E2834" s="166" t="s">
        <v>1105</v>
      </c>
      <c r="F2834" s="166">
        <v>1467.5582142857133</v>
      </c>
    </row>
    <row r="2835" spans="1:6">
      <c r="A2835" s="403">
        <v>5330</v>
      </c>
      <c r="B2835" s="403">
        <v>34</v>
      </c>
      <c r="C2835" s="166">
        <v>1258</v>
      </c>
      <c r="D2835" s="166">
        <v>173</v>
      </c>
      <c r="E2835" s="166" t="s">
        <v>1105</v>
      </c>
      <c r="F2835" s="166">
        <v>1467.5582142857133</v>
      </c>
    </row>
    <row r="2836" spans="1:6">
      <c r="A2836" s="403">
        <v>5331</v>
      </c>
      <c r="B2836" s="403">
        <v>34</v>
      </c>
      <c r="C2836" s="166">
        <v>1258</v>
      </c>
      <c r="D2836" s="166">
        <v>173</v>
      </c>
      <c r="E2836" s="166" t="s">
        <v>1105</v>
      </c>
      <c r="F2836" s="166">
        <v>1467.5582142857133</v>
      </c>
    </row>
    <row r="2837" spans="1:6">
      <c r="A2837" s="403">
        <v>5332</v>
      </c>
      <c r="B2837" s="403">
        <v>34</v>
      </c>
      <c r="C2837" s="166">
        <v>1258</v>
      </c>
      <c r="D2837" s="166">
        <v>173</v>
      </c>
      <c r="E2837" s="166" t="s">
        <v>1105</v>
      </c>
      <c r="F2837" s="166">
        <v>1467.5582142857133</v>
      </c>
    </row>
    <row r="2838" spans="1:6">
      <c r="A2838" s="403">
        <v>5333</v>
      </c>
      <c r="B2838" s="403">
        <v>34</v>
      </c>
      <c r="C2838" s="166">
        <v>1258</v>
      </c>
      <c r="D2838" s="166">
        <v>173</v>
      </c>
      <c r="E2838" s="166" t="s">
        <v>1105</v>
      </c>
      <c r="F2838" s="166">
        <v>1467.5582142857133</v>
      </c>
    </row>
    <row r="2839" spans="1:6">
      <c r="A2839" s="403">
        <v>5340</v>
      </c>
      <c r="B2839" s="403">
        <v>34</v>
      </c>
      <c r="C2839" s="166">
        <v>1258</v>
      </c>
      <c r="D2839" s="166">
        <v>173</v>
      </c>
      <c r="E2839" s="166" t="s">
        <v>1105</v>
      </c>
      <c r="F2839" s="166">
        <v>1467.5582142857133</v>
      </c>
    </row>
    <row r="2840" spans="1:6">
      <c r="A2840" s="403">
        <v>5341</v>
      </c>
      <c r="B2840" s="403">
        <v>34</v>
      </c>
      <c r="C2840" s="166">
        <v>1258</v>
      </c>
      <c r="D2840" s="166">
        <v>173</v>
      </c>
      <c r="E2840" s="166" t="s">
        <v>1105</v>
      </c>
      <c r="F2840" s="166">
        <v>1467.5582142857133</v>
      </c>
    </row>
    <row r="2841" spans="1:6">
      <c r="A2841" s="403">
        <v>5342</v>
      </c>
      <c r="B2841" s="403">
        <v>34</v>
      </c>
      <c r="C2841" s="166">
        <v>1258</v>
      </c>
      <c r="D2841" s="166">
        <v>173</v>
      </c>
      <c r="E2841" s="166" t="s">
        <v>1105</v>
      </c>
      <c r="F2841" s="166">
        <v>1467.5582142857133</v>
      </c>
    </row>
    <row r="2842" spans="1:6">
      <c r="A2842" s="403">
        <v>5343</v>
      </c>
      <c r="B2842" s="403">
        <v>34</v>
      </c>
      <c r="C2842" s="166">
        <v>1258</v>
      </c>
      <c r="D2842" s="166">
        <v>173</v>
      </c>
      <c r="E2842" s="166" t="s">
        <v>1105</v>
      </c>
      <c r="F2842" s="166">
        <v>1467.5582142857133</v>
      </c>
    </row>
    <row r="2843" spans="1:6">
      <c r="A2843" s="403">
        <v>5344</v>
      </c>
      <c r="B2843" s="403">
        <v>34</v>
      </c>
      <c r="C2843" s="166">
        <v>1258</v>
      </c>
      <c r="D2843" s="166">
        <v>173</v>
      </c>
      <c r="E2843" s="166" t="s">
        <v>1105</v>
      </c>
      <c r="F2843" s="166">
        <v>1467.5582142857133</v>
      </c>
    </row>
    <row r="2844" spans="1:6">
      <c r="A2844" s="403">
        <v>5345</v>
      </c>
      <c r="B2844" s="403">
        <v>34</v>
      </c>
      <c r="C2844" s="166">
        <v>1258</v>
      </c>
      <c r="D2844" s="166">
        <v>173</v>
      </c>
      <c r="E2844" s="166" t="s">
        <v>1105</v>
      </c>
      <c r="F2844" s="166">
        <v>1467.5582142857133</v>
      </c>
    </row>
    <row r="2845" spans="1:6">
      <c r="A2845" s="403">
        <v>5346</v>
      </c>
      <c r="B2845" s="403">
        <v>34</v>
      </c>
      <c r="C2845" s="166">
        <v>1258</v>
      </c>
      <c r="D2845" s="166">
        <v>173</v>
      </c>
      <c r="E2845" s="166" t="s">
        <v>1105</v>
      </c>
      <c r="F2845" s="166">
        <v>1467.5582142857133</v>
      </c>
    </row>
    <row r="2846" spans="1:6">
      <c r="A2846" s="403">
        <v>5350</v>
      </c>
      <c r="B2846" s="403">
        <v>33</v>
      </c>
      <c r="C2846" s="166">
        <v>1554</v>
      </c>
      <c r="D2846" s="166">
        <v>132</v>
      </c>
      <c r="E2846" s="166" t="s">
        <v>1105</v>
      </c>
      <c r="F2846" s="166">
        <v>824.92361111111165</v>
      </c>
    </row>
    <row r="2847" spans="1:6">
      <c r="A2847" s="403">
        <v>5351</v>
      </c>
      <c r="B2847" s="403">
        <v>33</v>
      </c>
      <c r="C2847" s="166">
        <v>1554</v>
      </c>
      <c r="D2847" s="166">
        <v>132</v>
      </c>
      <c r="E2847" s="166" t="s">
        <v>1105</v>
      </c>
      <c r="F2847" s="166">
        <v>824.92361111111165</v>
      </c>
    </row>
    <row r="2848" spans="1:6">
      <c r="A2848" s="403">
        <v>5352</v>
      </c>
      <c r="B2848" s="403">
        <v>33</v>
      </c>
      <c r="C2848" s="166">
        <v>1554</v>
      </c>
      <c r="D2848" s="166">
        <v>132</v>
      </c>
      <c r="E2848" s="166" t="s">
        <v>1105</v>
      </c>
      <c r="F2848" s="166">
        <v>824.92361111111165</v>
      </c>
    </row>
    <row r="2849" spans="1:6">
      <c r="A2849" s="403">
        <v>5353</v>
      </c>
      <c r="B2849" s="403">
        <v>33</v>
      </c>
      <c r="C2849" s="166">
        <v>1554</v>
      </c>
      <c r="D2849" s="166">
        <v>132</v>
      </c>
      <c r="E2849" s="166" t="s">
        <v>1105</v>
      </c>
      <c r="F2849" s="166">
        <v>824.92361111111165</v>
      </c>
    </row>
    <row r="2850" spans="1:6">
      <c r="A2850" s="403">
        <v>5354</v>
      </c>
      <c r="B2850" s="403">
        <v>34</v>
      </c>
      <c r="C2850" s="166">
        <v>1258</v>
      </c>
      <c r="D2850" s="166">
        <v>173</v>
      </c>
      <c r="E2850" s="166" t="s">
        <v>1105</v>
      </c>
      <c r="F2850" s="166">
        <v>1467.5582142857133</v>
      </c>
    </row>
    <row r="2851" spans="1:6">
      <c r="A2851" s="403">
        <v>5355</v>
      </c>
      <c r="B2851" s="403">
        <v>33</v>
      </c>
      <c r="C2851" s="166">
        <v>1554</v>
      </c>
      <c r="D2851" s="166">
        <v>132</v>
      </c>
      <c r="E2851" s="166" t="s">
        <v>1105</v>
      </c>
      <c r="F2851" s="166">
        <v>824.92361111111165</v>
      </c>
    </row>
    <row r="2852" spans="1:6">
      <c r="A2852" s="403">
        <v>5356</v>
      </c>
      <c r="B2852" s="403">
        <v>34</v>
      </c>
      <c r="C2852" s="166">
        <v>1258</v>
      </c>
      <c r="D2852" s="166">
        <v>173</v>
      </c>
      <c r="E2852" s="166" t="s">
        <v>1105</v>
      </c>
      <c r="F2852" s="166">
        <v>1467.5582142857133</v>
      </c>
    </row>
    <row r="2853" spans="1:6">
      <c r="A2853" s="403">
        <v>5357</v>
      </c>
      <c r="B2853" s="403">
        <v>34</v>
      </c>
      <c r="C2853" s="166">
        <v>1258</v>
      </c>
      <c r="D2853" s="166">
        <v>173</v>
      </c>
      <c r="E2853" s="166" t="s">
        <v>1105</v>
      </c>
      <c r="F2853" s="166">
        <v>1467.5582142857133</v>
      </c>
    </row>
    <row r="2854" spans="1:6">
      <c r="A2854" s="403">
        <v>5360</v>
      </c>
      <c r="B2854" s="403">
        <v>33</v>
      </c>
      <c r="C2854" s="166">
        <v>1554</v>
      </c>
      <c r="D2854" s="166">
        <v>132</v>
      </c>
      <c r="E2854" s="166" t="s">
        <v>1105</v>
      </c>
      <c r="F2854" s="166">
        <v>824.92361111111165</v>
      </c>
    </row>
    <row r="2855" spans="1:6">
      <c r="A2855" s="403">
        <v>5371</v>
      </c>
      <c r="B2855" s="403">
        <v>33</v>
      </c>
      <c r="C2855" s="166">
        <v>1554</v>
      </c>
      <c r="D2855" s="166">
        <v>132</v>
      </c>
      <c r="E2855" s="166" t="s">
        <v>1105</v>
      </c>
      <c r="F2855" s="166">
        <v>824.92361111111165</v>
      </c>
    </row>
    <row r="2856" spans="1:6">
      <c r="A2856" s="403">
        <v>5372</v>
      </c>
      <c r="B2856" s="403">
        <v>33</v>
      </c>
      <c r="C2856" s="166">
        <v>1554</v>
      </c>
      <c r="D2856" s="166">
        <v>132</v>
      </c>
      <c r="E2856" s="166" t="s">
        <v>1105</v>
      </c>
      <c r="F2856" s="166">
        <v>824.92361111111165</v>
      </c>
    </row>
    <row r="2857" spans="1:6">
      <c r="A2857" s="403">
        <v>5373</v>
      </c>
      <c r="B2857" s="403">
        <v>32</v>
      </c>
      <c r="C2857" s="166">
        <v>954</v>
      </c>
      <c r="D2857" s="166">
        <v>354</v>
      </c>
      <c r="E2857" s="166" t="s">
        <v>1105</v>
      </c>
      <c r="F2857" s="166">
        <v>1416.3980952380937</v>
      </c>
    </row>
    <row r="2858" spans="1:6">
      <c r="A2858" s="403">
        <v>5374</v>
      </c>
      <c r="B2858" s="403">
        <v>32</v>
      </c>
      <c r="C2858" s="166">
        <v>954</v>
      </c>
      <c r="D2858" s="166">
        <v>354</v>
      </c>
      <c r="E2858" s="166" t="s">
        <v>1105</v>
      </c>
      <c r="F2858" s="166">
        <v>1416.3980952380937</v>
      </c>
    </row>
    <row r="2859" spans="1:6">
      <c r="A2859" s="403">
        <v>5381</v>
      </c>
      <c r="B2859" s="403">
        <v>32</v>
      </c>
      <c r="C2859" s="166">
        <v>954</v>
      </c>
      <c r="D2859" s="166">
        <v>354</v>
      </c>
      <c r="E2859" s="166" t="s">
        <v>1105</v>
      </c>
      <c r="F2859" s="166">
        <v>1416.3980952380937</v>
      </c>
    </row>
    <row r="2860" spans="1:6">
      <c r="A2860" s="403">
        <v>5400</v>
      </c>
      <c r="B2860" s="403">
        <v>32</v>
      </c>
      <c r="C2860" s="166">
        <v>954</v>
      </c>
      <c r="D2860" s="166">
        <v>354</v>
      </c>
      <c r="E2860" s="166" t="s">
        <v>1105</v>
      </c>
      <c r="F2860" s="166">
        <v>1416.3980952380937</v>
      </c>
    </row>
    <row r="2861" spans="1:6">
      <c r="A2861" s="403">
        <v>5401</v>
      </c>
      <c r="B2861" s="403">
        <v>32</v>
      </c>
      <c r="C2861" s="166">
        <v>954</v>
      </c>
      <c r="D2861" s="166">
        <v>354</v>
      </c>
      <c r="E2861" s="166" t="s">
        <v>1105</v>
      </c>
      <c r="F2861" s="166">
        <v>1416.3980952380937</v>
      </c>
    </row>
    <row r="2862" spans="1:6">
      <c r="A2862" s="403">
        <v>5410</v>
      </c>
      <c r="B2862" s="403">
        <v>32</v>
      </c>
      <c r="C2862" s="166">
        <v>954</v>
      </c>
      <c r="D2862" s="166">
        <v>354</v>
      </c>
      <c r="E2862" s="166" t="s">
        <v>1105</v>
      </c>
      <c r="F2862" s="166">
        <v>1416.3980952380937</v>
      </c>
    </row>
    <row r="2863" spans="1:6">
      <c r="A2863" s="403">
        <v>5411</v>
      </c>
      <c r="B2863" s="403">
        <v>32</v>
      </c>
      <c r="C2863" s="166">
        <v>954</v>
      </c>
      <c r="D2863" s="166">
        <v>354</v>
      </c>
      <c r="E2863" s="166" t="s">
        <v>1105</v>
      </c>
      <c r="F2863" s="166">
        <v>1416.3980952380937</v>
      </c>
    </row>
    <row r="2864" spans="1:6">
      <c r="A2864" s="403">
        <v>5412</v>
      </c>
      <c r="B2864" s="403">
        <v>32</v>
      </c>
      <c r="C2864" s="166">
        <v>954</v>
      </c>
      <c r="D2864" s="166">
        <v>354</v>
      </c>
      <c r="E2864" s="166" t="s">
        <v>1105</v>
      </c>
      <c r="F2864" s="166">
        <v>1416.3980952380937</v>
      </c>
    </row>
    <row r="2865" spans="1:6">
      <c r="A2865" s="403">
        <v>5413</v>
      </c>
      <c r="B2865" s="403">
        <v>32</v>
      </c>
      <c r="C2865" s="166">
        <v>954</v>
      </c>
      <c r="D2865" s="166">
        <v>354</v>
      </c>
      <c r="E2865" s="166" t="s">
        <v>1105</v>
      </c>
      <c r="F2865" s="166">
        <v>1416.3980952380937</v>
      </c>
    </row>
    <row r="2866" spans="1:6">
      <c r="A2866" s="403">
        <v>5414</v>
      </c>
      <c r="B2866" s="403">
        <v>32</v>
      </c>
      <c r="C2866" s="166">
        <v>954</v>
      </c>
      <c r="D2866" s="166">
        <v>354</v>
      </c>
      <c r="E2866" s="166" t="s">
        <v>1105</v>
      </c>
      <c r="F2866" s="166">
        <v>1416.3980952380937</v>
      </c>
    </row>
    <row r="2867" spans="1:6">
      <c r="A2867" s="403">
        <v>5415</v>
      </c>
      <c r="B2867" s="403">
        <v>32</v>
      </c>
      <c r="C2867" s="166">
        <v>954</v>
      </c>
      <c r="D2867" s="166">
        <v>354</v>
      </c>
      <c r="E2867" s="166" t="s">
        <v>1105</v>
      </c>
      <c r="F2867" s="166">
        <v>1416.3980952380937</v>
      </c>
    </row>
    <row r="2868" spans="1:6">
      <c r="A2868" s="403">
        <v>5416</v>
      </c>
      <c r="B2868" s="403">
        <v>32</v>
      </c>
      <c r="C2868" s="166">
        <v>954</v>
      </c>
      <c r="D2868" s="166">
        <v>354</v>
      </c>
      <c r="E2868" s="166" t="s">
        <v>1105</v>
      </c>
      <c r="F2868" s="166">
        <v>1416.3980952380937</v>
      </c>
    </row>
    <row r="2869" spans="1:6">
      <c r="A2869" s="403">
        <v>5417</v>
      </c>
      <c r="B2869" s="403">
        <v>32</v>
      </c>
      <c r="C2869" s="166">
        <v>954</v>
      </c>
      <c r="D2869" s="166">
        <v>354</v>
      </c>
      <c r="E2869" s="166" t="s">
        <v>1105</v>
      </c>
      <c r="F2869" s="166">
        <v>1416.3980952380937</v>
      </c>
    </row>
    <row r="2870" spans="1:6">
      <c r="A2870" s="403">
        <v>5418</v>
      </c>
      <c r="B2870" s="403">
        <v>32</v>
      </c>
      <c r="C2870" s="166">
        <v>954</v>
      </c>
      <c r="D2870" s="166">
        <v>354</v>
      </c>
      <c r="E2870" s="166" t="s">
        <v>1105</v>
      </c>
      <c r="F2870" s="166">
        <v>1416.3980952380937</v>
      </c>
    </row>
    <row r="2871" spans="1:6">
      <c r="A2871" s="403">
        <v>5419</v>
      </c>
      <c r="B2871" s="403">
        <v>32</v>
      </c>
      <c r="C2871" s="166">
        <v>954</v>
      </c>
      <c r="D2871" s="166">
        <v>354</v>
      </c>
      <c r="E2871" s="166" t="s">
        <v>1105</v>
      </c>
      <c r="F2871" s="166">
        <v>1416.3980952380937</v>
      </c>
    </row>
    <row r="2872" spans="1:6">
      <c r="A2872" s="403">
        <v>5420</v>
      </c>
      <c r="B2872" s="403">
        <v>32</v>
      </c>
      <c r="C2872" s="166">
        <v>954</v>
      </c>
      <c r="D2872" s="166">
        <v>354</v>
      </c>
      <c r="E2872" s="166" t="s">
        <v>1105</v>
      </c>
      <c r="F2872" s="166">
        <v>1416.3980952380937</v>
      </c>
    </row>
    <row r="2873" spans="1:6">
      <c r="A2873" s="403">
        <v>5421</v>
      </c>
      <c r="B2873" s="403">
        <v>32</v>
      </c>
      <c r="C2873" s="166">
        <v>954</v>
      </c>
      <c r="D2873" s="166">
        <v>354</v>
      </c>
      <c r="E2873" s="166" t="s">
        <v>1105</v>
      </c>
      <c r="F2873" s="166">
        <v>1416.3980952380937</v>
      </c>
    </row>
    <row r="2874" spans="1:6">
      <c r="A2874" s="403">
        <v>5422</v>
      </c>
      <c r="B2874" s="403">
        <v>32</v>
      </c>
      <c r="C2874" s="166">
        <v>954</v>
      </c>
      <c r="D2874" s="166">
        <v>354</v>
      </c>
      <c r="E2874" s="166" t="s">
        <v>1105</v>
      </c>
      <c r="F2874" s="166">
        <v>1416.3980952380937</v>
      </c>
    </row>
    <row r="2875" spans="1:6">
      <c r="A2875" s="403">
        <v>5430</v>
      </c>
      <c r="B2875" s="403">
        <v>32</v>
      </c>
      <c r="C2875" s="166">
        <v>954</v>
      </c>
      <c r="D2875" s="166">
        <v>354</v>
      </c>
      <c r="E2875" s="166" t="s">
        <v>1105</v>
      </c>
      <c r="F2875" s="166">
        <v>1416.3980952380937</v>
      </c>
    </row>
    <row r="2876" spans="1:6">
      <c r="A2876" s="403">
        <v>5431</v>
      </c>
      <c r="B2876" s="403">
        <v>32</v>
      </c>
      <c r="C2876" s="166">
        <v>954</v>
      </c>
      <c r="D2876" s="166">
        <v>354</v>
      </c>
      <c r="E2876" s="166" t="s">
        <v>1105</v>
      </c>
      <c r="F2876" s="166">
        <v>1416.3980952380937</v>
      </c>
    </row>
    <row r="2877" spans="1:6">
      <c r="A2877" s="403">
        <v>5432</v>
      </c>
      <c r="B2877" s="403">
        <v>32</v>
      </c>
      <c r="C2877" s="166">
        <v>954</v>
      </c>
      <c r="D2877" s="166">
        <v>354</v>
      </c>
      <c r="E2877" s="166" t="s">
        <v>1105</v>
      </c>
      <c r="F2877" s="166">
        <v>1416.3980952380937</v>
      </c>
    </row>
    <row r="2878" spans="1:6">
      <c r="A2878" s="403">
        <v>5433</v>
      </c>
      <c r="B2878" s="403">
        <v>32</v>
      </c>
      <c r="C2878" s="166">
        <v>954</v>
      </c>
      <c r="D2878" s="166">
        <v>354</v>
      </c>
      <c r="E2878" s="166" t="s">
        <v>1105</v>
      </c>
      <c r="F2878" s="166">
        <v>1416.3980952380937</v>
      </c>
    </row>
    <row r="2879" spans="1:6">
      <c r="A2879" s="403">
        <v>5434</v>
      </c>
      <c r="B2879" s="403">
        <v>32</v>
      </c>
      <c r="C2879" s="166">
        <v>954</v>
      </c>
      <c r="D2879" s="166">
        <v>354</v>
      </c>
      <c r="E2879" s="166" t="s">
        <v>1105</v>
      </c>
      <c r="F2879" s="166">
        <v>1416.3980952380937</v>
      </c>
    </row>
    <row r="2880" spans="1:6">
      <c r="A2880" s="403">
        <v>5440</v>
      </c>
      <c r="B2880" s="403">
        <v>32</v>
      </c>
      <c r="C2880" s="166">
        <v>954</v>
      </c>
      <c r="D2880" s="166">
        <v>354</v>
      </c>
      <c r="E2880" s="166" t="s">
        <v>1105</v>
      </c>
      <c r="F2880" s="166">
        <v>1416.3980952380937</v>
      </c>
    </row>
    <row r="2881" spans="1:6">
      <c r="A2881" s="403">
        <v>5451</v>
      </c>
      <c r="B2881" s="403">
        <v>32</v>
      </c>
      <c r="C2881" s="166">
        <v>954</v>
      </c>
      <c r="D2881" s="166">
        <v>354</v>
      </c>
      <c r="E2881" s="166" t="s">
        <v>1105</v>
      </c>
      <c r="F2881" s="166">
        <v>1416.3980952380937</v>
      </c>
    </row>
    <row r="2882" spans="1:6">
      <c r="A2882" s="403">
        <v>5452</v>
      </c>
      <c r="B2882" s="403">
        <v>32</v>
      </c>
      <c r="C2882" s="166">
        <v>954</v>
      </c>
      <c r="D2882" s="166">
        <v>354</v>
      </c>
      <c r="E2882" s="166" t="s">
        <v>1105</v>
      </c>
      <c r="F2882" s="166">
        <v>1416.3980952380937</v>
      </c>
    </row>
    <row r="2883" spans="1:6">
      <c r="A2883" s="403">
        <v>5453</v>
      </c>
      <c r="B2883" s="403">
        <v>32</v>
      </c>
      <c r="C2883" s="166">
        <v>954</v>
      </c>
      <c r="D2883" s="166">
        <v>354</v>
      </c>
      <c r="E2883" s="166" t="s">
        <v>1105</v>
      </c>
      <c r="F2883" s="166">
        <v>1416.3980952380937</v>
      </c>
    </row>
    <row r="2884" spans="1:6">
      <c r="A2884" s="403">
        <v>5454</v>
      </c>
      <c r="B2884" s="403">
        <v>32</v>
      </c>
      <c r="C2884" s="166">
        <v>954</v>
      </c>
      <c r="D2884" s="166">
        <v>354</v>
      </c>
      <c r="E2884" s="166" t="s">
        <v>1105</v>
      </c>
      <c r="F2884" s="166">
        <v>1416.3980952380937</v>
      </c>
    </row>
    <row r="2885" spans="1:6">
      <c r="A2885" s="403">
        <v>5455</v>
      </c>
      <c r="B2885" s="403">
        <v>32</v>
      </c>
      <c r="C2885" s="166">
        <v>954</v>
      </c>
      <c r="D2885" s="166">
        <v>354</v>
      </c>
      <c r="E2885" s="166" t="s">
        <v>1105</v>
      </c>
      <c r="F2885" s="166">
        <v>1416.3980952380937</v>
      </c>
    </row>
    <row r="2886" spans="1:6">
      <c r="A2886" s="403">
        <v>5460</v>
      </c>
      <c r="B2886" s="403">
        <v>32</v>
      </c>
      <c r="C2886" s="166">
        <v>954</v>
      </c>
      <c r="D2886" s="166">
        <v>354</v>
      </c>
      <c r="E2886" s="166" t="s">
        <v>1105</v>
      </c>
      <c r="F2886" s="166">
        <v>1416.3980952380937</v>
      </c>
    </row>
    <row r="2887" spans="1:6">
      <c r="A2887" s="403">
        <v>5461</v>
      </c>
      <c r="B2887" s="403">
        <v>32</v>
      </c>
      <c r="C2887" s="166">
        <v>954</v>
      </c>
      <c r="D2887" s="166">
        <v>354</v>
      </c>
      <c r="E2887" s="166" t="s">
        <v>1105</v>
      </c>
      <c r="F2887" s="166">
        <v>1416.3980952380937</v>
      </c>
    </row>
    <row r="2888" spans="1:6">
      <c r="A2888" s="403">
        <v>5462</v>
      </c>
      <c r="B2888" s="403">
        <v>32</v>
      </c>
      <c r="C2888" s="166">
        <v>954</v>
      </c>
      <c r="D2888" s="166">
        <v>354</v>
      </c>
      <c r="E2888" s="166" t="s">
        <v>1105</v>
      </c>
      <c r="F2888" s="166">
        <v>1416.3980952380937</v>
      </c>
    </row>
    <row r="2889" spans="1:6">
      <c r="A2889" s="403">
        <v>5464</v>
      </c>
      <c r="B2889" s="403">
        <v>32</v>
      </c>
      <c r="C2889" s="166">
        <v>954</v>
      </c>
      <c r="D2889" s="166">
        <v>354</v>
      </c>
      <c r="E2889" s="166" t="s">
        <v>1105</v>
      </c>
      <c r="F2889" s="166">
        <v>1416.3980952380937</v>
      </c>
    </row>
    <row r="2890" spans="1:6">
      <c r="A2890" s="403">
        <v>5470</v>
      </c>
      <c r="B2890" s="403">
        <v>32</v>
      </c>
      <c r="C2890" s="166">
        <v>954</v>
      </c>
      <c r="D2890" s="166">
        <v>354</v>
      </c>
      <c r="E2890" s="166" t="s">
        <v>1105</v>
      </c>
      <c r="F2890" s="166">
        <v>1416.3980952380937</v>
      </c>
    </row>
    <row r="2891" spans="1:6">
      <c r="A2891" s="403">
        <v>5471</v>
      </c>
      <c r="B2891" s="403">
        <v>32</v>
      </c>
      <c r="C2891" s="166">
        <v>954</v>
      </c>
      <c r="D2891" s="166">
        <v>354</v>
      </c>
      <c r="E2891" s="166" t="s">
        <v>1105</v>
      </c>
      <c r="F2891" s="166">
        <v>1416.3980952380937</v>
      </c>
    </row>
    <row r="2892" spans="1:6">
      <c r="A2892" s="403">
        <v>5472</v>
      </c>
      <c r="B2892" s="403">
        <v>32</v>
      </c>
      <c r="C2892" s="166">
        <v>954</v>
      </c>
      <c r="D2892" s="166">
        <v>354</v>
      </c>
      <c r="E2892" s="166" t="s">
        <v>1105</v>
      </c>
      <c r="F2892" s="166">
        <v>1416.3980952380937</v>
      </c>
    </row>
    <row r="2893" spans="1:6">
      <c r="A2893" s="403">
        <v>5473</v>
      </c>
      <c r="B2893" s="403">
        <v>32</v>
      </c>
      <c r="C2893" s="166">
        <v>954</v>
      </c>
      <c r="D2893" s="166">
        <v>354</v>
      </c>
      <c r="E2893" s="166" t="s">
        <v>1105</v>
      </c>
      <c r="F2893" s="166">
        <v>1416.3980952380937</v>
      </c>
    </row>
    <row r="2894" spans="1:6">
      <c r="A2894" s="403">
        <v>5480</v>
      </c>
      <c r="B2894" s="403">
        <v>32</v>
      </c>
      <c r="C2894" s="166">
        <v>954</v>
      </c>
      <c r="D2894" s="166">
        <v>354</v>
      </c>
      <c r="E2894" s="166" t="s">
        <v>1105</v>
      </c>
      <c r="F2894" s="166">
        <v>1416.3980952380937</v>
      </c>
    </row>
    <row r="2895" spans="1:6">
      <c r="A2895" s="403">
        <v>5481</v>
      </c>
      <c r="B2895" s="403">
        <v>32</v>
      </c>
      <c r="C2895" s="166">
        <v>954</v>
      </c>
      <c r="D2895" s="166">
        <v>354</v>
      </c>
      <c r="E2895" s="166" t="s">
        <v>1105</v>
      </c>
      <c r="F2895" s="166">
        <v>1416.3980952380937</v>
      </c>
    </row>
    <row r="2896" spans="1:6">
      <c r="A2896" s="403">
        <v>5482</v>
      </c>
      <c r="B2896" s="403">
        <v>32</v>
      </c>
      <c r="C2896" s="166">
        <v>954</v>
      </c>
      <c r="D2896" s="166">
        <v>354</v>
      </c>
      <c r="E2896" s="166" t="s">
        <v>1105</v>
      </c>
      <c r="F2896" s="166">
        <v>1416.3980952380937</v>
      </c>
    </row>
    <row r="2897" spans="1:6">
      <c r="A2897" s="403">
        <v>5483</v>
      </c>
      <c r="B2897" s="403">
        <v>32</v>
      </c>
      <c r="C2897" s="166">
        <v>954</v>
      </c>
      <c r="D2897" s="166">
        <v>354</v>
      </c>
      <c r="E2897" s="166" t="s">
        <v>1105</v>
      </c>
      <c r="F2897" s="166">
        <v>1416.3980952380937</v>
      </c>
    </row>
    <row r="2898" spans="1:6">
      <c r="A2898" s="403">
        <v>5485</v>
      </c>
      <c r="B2898" s="403">
        <v>32</v>
      </c>
      <c r="C2898" s="166">
        <v>954</v>
      </c>
      <c r="D2898" s="166">
        <v>354</v>
      </c>
      <c r="E2898" s="166" t="s">
        <v>1105</v>
      </c>
      <c r="F2898" s="166">
        <v>1416.3980952380937</v>
      </c>
    </row>
    <row r="2899" spans="1:6">
      <c r="A2899" s="403">
        <v>5490</v>
      </c>
      <c r="B2899" s="403">
        <v>32</v>
      </c>
      <c r="C2899" s="166">
        <v>954</v>
      </c>
      <c r="D2899" s="166">
        <v>354</v>
      </c>
      <c r="E2899" s="166" t="s">
        <v>1105</v>
      </c>
      <c r="F2899" s="166">
        <v>1416.3980952380937</v>
      </c>
    </row>
    <row r="2900" spans="1:6">
      <c r="A2900" s="403">
        <v>5491</v>
      </c>
      <c r="B2900" s="403">
        <v>32</v>
      </c>
      <c r="C2900" s="166">
        <v>954</v>
      </c>
      <c r="D2900" s="166">
        <v>354</v>
      </c>
      <c r="E2900" s="166" t="s">
        <v>1105</v>
      </c>
      <c r="F2900" s="166">
        <v>1416.3980952380937</v>
      </c>
    </row>
    <row r="2901" spans="1:6">
      <c r="A2901" s="403">
        <v>5493</v>
      </c>
      <c r="B2901" s="403">
        <v>32</v>
      </c>
      <c r="C2901" s="166">
        <v>954</v>
      </c>
      <c r="D2901" s="166">
        <v>354</v>
      </c>
      <c r="E2901" s="166" t="s">
        <v>1105</v>
      </c>
      <c r="F2901" s="166">
        <v>1416.3980952380937</v>
      </c>
    </row>
    <row r="2902" spans="1:6">
      <c r="A2902" s="403">
        <v>5495</v>
      </c>
      <c r="B2902" s="403">
        <v>32</v>
      </c>
      <c r="C2902" s="166">
        <v>954</v>
      </c>
      <c r="D2902" s="166">
        <v>354</v>
      </c>
      <c r="E2902" s="166" t="s">
        <v>1105</v>
      </c>
      <c r="F2902" s="166">
        <v>1416.3980952380937</v>
      </c>
    </row>
    <row r="2903" spans="1:6">
      <c r="A2903" s="403">
        <v>5501</v>
      </c>
      <c r="B2903" s="403">
        <v>33</v>
      </c>
      <c r="C2903" s="166">
        <v>1554</v>
      </c>
      <c r="D2903" s="166">
        <v>132</v>
      </c>
      <c r="E2903" s="166" t="s">
        <v>1105</v>
      </c>
      <c r="F2903" s="166">
        <v>824.92361111111165</v>
      </c>
    </row>
    <row r="2904" spans="1:6">
      <c r="A2904" s="403">
        <v>5502</v>
      </c>
      <c r="B2904" s="403">
        <v>32</v>
      </c>
      <c r="C2904" s="166">
        <v>954</v>
      </c>
      <c r="D2904" s="166">
        <v>354</v>
      </c>
      <c r="E2904" s="166" t="s">
        <v>1105</v>
      </c>
      <c r="F2904" s="166">
        <v>1416.3980952380937</v>
      </c>
    </row>
    <row r="2905" spans="1:6">
      <c r="A2905" s="403">
        <v>5510</v>
      </c>
      <c r="B2905" s="403">
        <v>32</v>
      </c>
      <c r="C2905" s="166">
        <v>954</v>
      </c>
      <c r="D2905" s="166">
        <v>354</v>
      </c>
      <c r="E2905" s="166" t="s">
        <v>1105</v>
      </c>
      <c r="F2905" s="166">
        <v>1416.3980952380937</v>
      </c>
    </row>
    <row r="2906" spans="1:6">
      <c r="A2906" s="403">
        <v>5520</v>
      </c>
      <c r="B2906" s="403">
        <v>32</v>
      </c>
      <c r="C2906" s="166">
        <v>954</v>
      </c>
      <c r="D2906" s="166">
        <v>354</v>
      </c>
      <c r="E2906" s="166" t="s">
        <v>1105</v>
      </c>
      <c r="F2906" s="166">
        <v>1416.3980952380937</v>
      </c>
    </row>
    <row r="2907" spans="1:6">
      <c r="A2907" s="403">
        <v>5521</v>
      </c>
      <c r="B2907" s="403">
        <v>32</v>
      </c>
      <c r="C2907" s="166">
        <v>954</v>
      </c>
      <c r="D2907" s="166">
        <v>354</v>
      </c>
      <c r="E2907" s="166" t="s">
        <v>1105</v>
      </c>
      <c r="F2907" s="166">
        <v>1416.3980952380937</v>
      </c>
    </row>
    <row r="2908" spans="1:6">
      <c r="A2908" s="403">
        <v>5522</v>
      </c>
      <c r="B2908" s="403">
        <v>32</v>
      </c>
      <c r="C2908" s="166">
        <v>954</v>
      </c>
      <c r="D2908" s="166">
        <v>354</v>
      </c>
      <c r="E2908" s="166" t="s">
        <v>1105</v>
      </c>
      <c r="F2908" s="166">
        <v>1416.3980952380937</v>
      </c>
    </row>
    <row r="2909" spans="1:6">
      <c r="A2909" s="403">
        <v>5523</v>
      </c>
      <c r="B2909" s="403">
        <v>32</v>
      </c>
      <c r="C2909" s="166">
        <v>954</v>
      </c>
      <c r="D2909" s="166">
        <v>354</v>
      </c>
      <c r="E2909" s="166" t="s">
        <v>1105</v>
      </c>
      <c r="F2909" s="166">
        <v>1416.3980952380937</v>
      </c>
    </row>
    <row r="2910" spans="1:6">
      <c r="A2910" s="403">
        <v>5540</v>
      </c>
      <c r="B2910" s="403">
        <v>32</v>
      </c>
      <c r="C2910" s="166">
        <v>954</v>
      </c>
      <c r="D2910" s="166">
        <v>354</v>
      </c>
      <c r="E2910" s="166" t="s">
        <v>1105</v>
      </c>
      <c r="F2910" s="166">
        <v>1416.3980952380937</v>
      </c>
    </row>
    <row r="2911" spans="1:6">
      <c r="A2911" s="403">
        <v>5550</v>
      </c>
      <c r="B2911" s="403">
        <v>32</v>
      </c>
      <c r="C2911" s="166">
        <v>954</v>
      </c>
      <c r="D2911" s="166">
        <v>354</v>
      </c>
      <c r="E2911" s="166" t="s">
        <v>1105</v>
      </c>
      <c r="F2911" s="166">
        <v>1416.3980952380937</v>
      </c>
    </row>
    <row r="2912" spans="1:6">
      <c r="A2912" s="403">
        <v>5552</v>
      </c>
      <c r="B2912" s="403">
        <v>33</v>
      </c>
      <c r="C2912" s="166">
        <v>1554</v>
      </c>
      <c r="D2912" s="166">
        <v>132</v>
      </c>
      <c r="E2912" s="166" t="s">
        <v>1105</v>
      </c>
      <c r="F2912" s="166">
        <v>824.92361111111165</v>
      </c>
    </row>
    <row r="2913" spans="1:6">
      <c r="A2913" s="403">
        <v>5554</v>
      </c>
      <c r="B2913" s="403">
        <v>33</v>
      </c>
      <c r="C2913" s="166">
        <v>1554</v>
      </c>
      <c r="D2913" s="166">
        <v>132</v>
      </c>
      <c r="E2913" s="166" t="s">
        <v>1105</v>
      </c>
      <c r="F2913" s="166">
        <v>824.92361111111165</v>
      </c>
    </row>
    <row r="2914" spans="1:6">
      <c r="A2914" s="403">
        <v>5555</v>
      </c>
      <c r="B2914" s="403">
        <v>33</v>
      </c>
      <c r="C2914" s="166">
        <v>1554</v>
      </c>
      <c r="D2914" s="166">
        <v>132</v>
      </c>
      <c r="E2914" s="166" t="s">
        <v>1105</v>
      </c>
      <c r="F2914" s="166">
        <v>824.92361111111165</v>
      </c>
    </row>
    <row r="2915" spans="1:6">
      <c r="A2915" s="403">
        <v>5556</v>
      </c>
      <c r="B2915" s="403">
        <v>33</v>
      </c>
      <c r="C2915" s="166">
        <v>1554</v>
      </c>
      <c r="D2915" s="166">
        <v>132</v>
      </c>
      <c r="E2915" s="166" t="s">
        <v>1105</v>
      </c>
      <c r="F2915" s="166">
        <v>824.92361111111165</v>
      </c>
    </row>
    <row r="2916" spans="1:6">
      <c r="A2916" s="403">
        <v>5558</v>
      </c>
      <c r="B2916" s="403">
        <v>33</v>
      </c>
      <c r="C2916" s="166">
        <v>1554</v>
      </c>
      <c r="D2916" s="166">
        <v>132</v>
      </c>
      <c r="E2916" s="166" t="s">
        <v>1105</v>
      </c>
      <c r="F2916" s="166">
        <v>824.92361111111165</v>
      </c>
    </row>
    <row r="2917" spans="1:6">
      <c r="A2917" s="403">
        <v>5560</v>
      </c>
      <c r="B2917" s="403">
        <v>32</v>
      </c>
      <c r="C2917" s="166">
        <v>954</v>
      </c>
      <c r="D2917" s="166">
        <v>354</v>
      </c>
      <c r="E2917" s="166" t="s">
        <v>1105</v>
      </c>
      <c r="F2917" s="166">
        <v>1416.3980952380937</v>
      </c>
    </row>
    <row r="2918" spans="1:6">
      <c r="A2918" s="403">
        <v>5570</v>
      </c>
      <c r="B2918" s="403">
        <v>33</v>
      </c>
      <c r="C2918" s="166">
        <v>1554</v>
      </c>
      <c r="D2918" s="166">
        <v>132</v>
      </c>
      <c r="E2918" s="166" t="s">
        <v>1105</v>
      </c>
      <c r="F2918" s="166">
        <v>824.92361111111165</v>
      </c>
    </row>
    <row r="2919" spans="1:6">
      <c r="A2919" s="403">
        <v>5571</v>
      </c>
      <c r="B2919" s="403">
        <v>33</v>
      </c>
      <c r="C2919" s="166">
        <v>1554</v>
      </c>
      <c r="D2919" s="166">
        <v>132</v>
      </c>
      <c r="E2919" s="166" t="s">
        <v>1105</v>
      </c>
      <c r="F2919" s="166">
        <v>824.92361111111165</v>
      </c>
    </row>
    <row r="2920" spans="1:6">
      <c r="A2920" s="403">
        <v>5572</v>
      </c>
      <c r="B2920" s="403">
        <v>33</v>
      </c>
      <c r="C2920" s="166">
        <v>1554</v>
      </c>
      <c r="D2920" s="166">
        <v>132</v>
      </c>
      <c r="E2920" s="166" t="s">
        <v>1105</v>
      </c>
      <c r="F2920" s="166">
        <v>824.92361111111165</v>
      </c>
    </row>
    <row r="2921" spans="1:6">
      <c r="A2921" s="403">
        <v>5573</v>
      </c>
      <c r="B2921" s="403">
        <v>33</v>
      </c>
      <c r="C2921" s="166">
        <v>1554</v>
      </c>
      <c r="D2921" s="166">
        <v>132</v>
      </c>
      <c r="E2921" s="166" t="s">
        <v>1105</v>
      </c>
      <c r="F2921" s="166">
        <v>824.92361111111165</v>
      </c>
    </row>
    <row r="2922" spans="1:6">
      <c r="A2922" s="403">
        <v>5575</v>
      </c>
      <c r="B2922" s="403">
        <v>33</v>
      </c>
      <c r="C2922" s="166">
        <v>1554</v>
      </c>
      <c r="D2922" s="166">
        <v>132</v>
      </c>
      <c r="E2922" s="166" t="s">
        <v>1105</v>
      </c>
      <c r="F2922" s="166">
        <v>824.92361111111165</v>
      </c>
    </row>
    <row r="2923" spans="1:6">
      <c r="A2923" s="403">
        <v>5576</v>
      </c>
      <c r="B2923" s="403">
        <v>33</v>
      </c>
      <c r="C2923" s="166">
        <v>1554</v>
      </c>
      <c r="D2923" s="166">
        <v>132</v>
      </c>
      <c r="E2923" s="166" t="s">
        <v>1105</v>
      </c>
      <c r="F2923" s="166">
        <v>824.92361111111165</v>
      </c>
    </row>
    <row r="2924" spans="1:6">
      <c r="A2924" s="403">
        <v>5577</v>
      </c>
      <c r="B2924" s="403">
        <v>33</v>
      </c>
      <c r="C2924" s="166">
        <v>1554</v>
      </c>
      <c r="D2924" s="166">
        <v>132</v>
      </c>
      <c r="E2924" s="166" t="s">
        <v>1105</v>
      </c>
      <c r="F2924" s="166">
        <v>824.92361111111165</v>
      </c>
    </row>
    <row r="2925" spans="1:6">
      <c r="A2925" s="403">
        <v>5580</v>
      </c>
      <c r="B2925" s="403">
        <v>33</v>
      </c>
      <c r="C2925" s="166">
        <v>1554</v>
      </c>
      <c r="D2925" s="166">
        <v>132</v>
      </c>
      <c r="E2925" s="166" t="s">
        <v>1105</v>
      </c>
      <c r="F2925" s="166">
        <v>824.92361111111165</v>
      </c>
    </row>
    <row r="2926" spans="1:6">
      <c r="A2926" s="403">
        <v>5581</v>
      </c>
      <c r="B2926" s="403">
        <v>33</v>
      </c>
      <c r="C2926" s="166">
        <v>1554</v>
      </c>
      <c r="D2926" s="166">
        <v>132</v>
      </c>
      <c r="E2926" s="166" t="s">
        <v>1105</v>
      </c>
      <c r="F2926" s="166">
        <v>824.92361111111165</v>
      </c>
    </row>
    <row r="2927" spans="1:6">
      <c r="A2927" s="403">
        <v>5582</v>
      </c>
      <c r="B2927" s="403">
        <v>33</v>
      </c>
      <c r="C2927" s="166">
        <v>1554</v>
      </c>
      <c r="D2927" s="166">
        <v>132</v>
      </c>
      <c r="E2927" s="166" t="s">
        <v>1105</v>
      </c>
      <c r="F2927" s="166">
        <v>824.92361111111165</v>
      </c>
    </row>
    <row r="2928" spans="1:6">
      <c r="A2928" s="403">
        <v>5583</v>
      </c>
      <c r="B2928" s="403">
        <v>33</v>
      </c>
      <c r="C2928" s="166">
        <v>1554</v>
      </c>
      <c r="D2928" s="166">
        <v>132</v>
      </c>
      <c r="E2928" s="166" t="s">
        <v>1105</v>
      </c>
      <c r="F2928" s="166">
        <v>824.92361111111165</v>
      </c>
    </row>
    <row r="2929" spans="1:6">
      <c r="A2929" s="403">
        <v>5600</v>
      </c>
      <c r="B2929" s="403">
        <v>29</v>
      </c>
      <c r="C2929" s="166">
        <v>963</v>
      </c>
      <c r="D2929" s="166">
        <v>229</v>
      </c>
      <c r="E2929" s="166" t="s">
        <v>1105</v>
      </c>
      <c r="F2929" s="166">
        <v>2038.6921495327094</v>
      </c>
    </row>
    <row r="2930" spans="1:6">
      <c r="A2930" s="403">
        <v>5601</v>
      </c>
      <c r="B2930" s="403">
        <v>29</v>
      </c>
      <c r="C2930" s="166">
        <v>963</v>
      </c>
      <c r="D2930" s="166">
        <v>229</v>
      </c>
      <c r="E2930" s="166" t="s">
        <v>1105</v>
      </c>
      <c r="F2930" s="166">
        <v>2038.6921495327094</v>
      </c>
    </row>
    <row r="2931" spans="1:6">
      <c r="A2931" s="403">
        <v>5602</v>
      </c>
      <c r="B2931" s="403">
        <v>29</v>
      </c>
      <c r="C2931" s="166">
        <v>963</v>
      </c>
      <c r="D2931" s="166">
        <v>229</v>
      </c>
      <c r="E2931" s="166" t="s">
        <v>1105</v>
      </c>
      <c r="F2931" s="166">
        <v>2038.6921495327094</v>
      </c>
    </row>
    <row r="2932" spans="1:6">
      <c r="A2932" s="403">
        <v>5603</v>
      </c>
      <c r="B2932" s="403">
        <v>29</v>
      </c>
      <c r="C2932" s="166">
        <v>963</v>
      </c>
      <c r="D2932" s="166">
        <v>229</v>
      </c>
      <c r="E2932" s="166" t="s">
        <v>1105</v>
      </c>
      <c r="F2932" s="166">
        <v>2038.6921495327094</v>
      </c>
    </row>
    <row r="2933" spans="1:6">
      <c r="A2933" s="403">
        <v>5604</v>
      </c>
      <c r="B2933" s="403">
        <v>29</v>
      </c>
      <c r="C2933" s="166">
        <v>963</v>
      </c>
      <c r="D2933" s="166">
        <v>229</v>
      </c>
      <c r="E2933" s="166" t="s">
        <v>1105</v>
      </c>
      <c r="F2933" s="166">
        <v>2038.6921495327094</v>
      </c>
    </row>
    <row r="2934" spans="1:6">
      <c r="A2934" s="403">
        <v>5605</v>
      </c>
      <c r="B2934" s="403">
        <v>29</v>
      </c>
      <c r="C2934" s="166">
        <v>963</v>
      </c>
      <c r="D2934" s="166">
        <v>229</v>
      </c>
      <c r="E2934" s="166" t="s">
        <v>1105</v>
      </c>
      <c r="F2934" s="166">
        <v>2038.6921495327094</v>
      </c>
    </row>
    <row r="2935" spans="1:6">
      <c r="A2935" s="403">
        <v>5606</v>
      </c>
      <c r="B2935" s="403">
        <v>29</v>
      </c>
      <c r="C2935" s="166">
        <v>963</v>
      </c>
      <c r="D2935" s="166">
        <v>229</v>
      </c>
      <c r="E2935" s="166" t="s">
        <v>1105</v>
      </c>
      <c r="F2935" s="166">
        <v>2038.6921495327094</v>
      </c>
    </row>
    <row r="2936" spans="1:6">
      <c r="A2936" s="403">
        <v>5607</v>
      </c>
      <c r="B2936" s="403">
        <v>29</v>
      </c>
      <c r="C2936" s="166">
        <v>963</v>
      </c>
      <c r="D2936" s="166">
        <v>229</v>
      </c>
      <c r="E2936" s="166" t="s">
        <v>1105</v>
      </c>
      <c r="F2936" s="166">
        <v>2038.6921495327094</v>
      </c>
    </row>
    <row r="2937" spans="1:6">
      <c r="A2937" s="403">
        <v>5608</v>
      </c>
      <c r="B2937" s="403">
        <v>29</v>
      </c>
      <c r="C2937" s="166">
        <v>963</v>
      </c>
      <c r="D2937" s="166">
        <v>229</v>
      </c>
      <c r="E2937" s="166" t="s">
        <v>1105</v>
      </c>
      <c r="F2937" s="166">
        <v>2038.6921495327094</v>
      </c>
    </row>
    <row r="2938" spans="1:6">
      <c r="A2938" s="403">
        <v>5609</v>
      </c>
      <c r="B2938" s="403">
        <v>29</v>
      </c>
      <c r="C2938" s="166">
        <v>963</v>
      </c>
      <c r="D2938" s="166">
        <v>229</v>
      </c>
      <c r="E2938" s="166" t="s">
        <v>1105</v>
      </c>
      <c r="F2938" s="166">
        <v>2038.6921495327094</v>
      </c>
    </row>
    <row r="2939" spans="1:6">
      <c r="A2939" s="403">
        <v>5630</v>
      </c>
      <c r="B2939" s="403">
        <v>29</v>
      </c>
      <c r="C2939" s="166">
        <v>963</v>
      </c>
      <c r="D2939" s="166">
        <v>229</v>
      </c>
      <c r="E2939" s="166" t="s">
        <v>1105</v>
      </c>
      <c r="F2939" s="166">
        <v>2038.6921495327094</v>
      </c>
    </row>
    <row r="2940" spans="1:6">
      <c r="A2940" s="403">
        <v>5631</v>
      </c>
      <c r="B2940" s="403">
        <v>29</v>
      </c>
      <c r="C2940" s="166">
        <v>963</v>
      </c>
      <c r="D2940" s="166">
        <v>229</v>
      </c>
      <c r="E2940" s="166" t="s">
        <v>1105</v>
      </c>
      <c r="F2940" s="166">
        <v>2038.6921495327094</v>
      </c>
    </row>
    <row r="2941" spans="1:6">
      <c r="A2941" s="403">
        <v>5632</v>
      </c>
      <c r="B2941" s="403">
        <v>29</v>
      </c>
      <c r="C2941" s="166">
        <v>963</v>
      </c>
      <c r="D2941" s="166">
        <v>229</v>
      </c>
      <c r="E2941" s="166" t="s">
        <v>1105</v>
      </c>
      <c r="F2941" s="166">
        <v>2038.6921495327094</v>
      </c>
    </row>
    <row r="2942" spans="1:6">
      <c r="A2942" s="403">
        <v>5633</v>
      </c>
      <c r="B2942" s="403">
        <v>29</v>
      </c>
      <c r="C2942" s="166">
        <v>963</v>
      </c>
      <c r="D2942" s="166">
        <v>229</v>
      </c>
      <c r="E2942" s="166" t="s">
        <v>1105</v>
      </c>
      <c r="F2942" s="166">
        <v>2038.6921495327094</v>
      </c>
    </row>
    <row r="2943" spans="1:6">
      <c r="A2943" s="403">
        <v>5640</v>
      </c>
      <c r="B2943" s="403">
        <v>29</v>
      </c>
      <c r="C2943" s="166">
        <v>963</v>
      </c>
      <c r="D2943" s="166">
        <v>229</v>
      </c>
      <c r="E2943" s="166" t="s">
        <v>1105</v>
      </c>
      <c r="F2943" s="166">
        <v>2038.6921495327094</v>
      </c>
    </row>
    <row r="2944" spans="1:6">
      <c r="A2944" s="403">
        <v>5641</v>
      </c>
      <c r="B2944" s="403">
        <v>29</v>
      </c>
      <c r="C2944" s="166">
        <v>963</v>
      </c>
      <c r="D2944" s="166">
        <v>229</v>
      </c>
      <c r="E2944" s="166" t="s">
        <v>1105</v>
      </c>
      <c r="F2944" s="166">
        <v>2038.6921495327094</v>
      </c>
    </row>
    <row r="2945" spans="1:6">
      <c r="A2945" s="403">
        <v>5642</v>
      </c>
      <c r="B2945" s="403">
        <v>29</v>
      </c>
      <c r="C2945" s="166">
        <v>963</v>
      </c>
      <c r="D2945" s="166">
        <v>229</v>
      </c>
      <c r="E2945" s="166" t="s">
        <v>1105</v>
      </c>
      <c r="F2945" s="166">
        <v>2038.6921495327094</v>
      </c>
    </row>
    <row r="2946" spans="1:6">
      <c r="A2946" s="403">
        <v>5650</v>
      </c>
      <c r="B2946" s="403">
        <v>29</v>
      </c>
      <c r="C2946" s="166">
        <v>963</v>
      </c>
      <c r="D2946" s="166">
        <v>229</v>
      </c>
      <c r="E2946" s="166" t="s">
        <v>1105</v>
      </c>
      <c r="F2946" s="166">
        <v>2038.6921495327094</v>
      </c>
    </row>
    <row r="2947" spans="1:6">
      <c r="A2947" s="403">
        <v>5651</v>
      </c>
      <c r="B2947" s="403">
        <v>29</v>
      </c>
      <c r="C2947" s="166">
        <v>963</v>
      </c>
      <c r="D2947" s="166">
        <v>229</v>
      </c>
      <c r="E2947" s="166" t="s">
        <v>1105</v>
      </c>
      <c r="F2947" s="166">
        <v>2038.6921495327094</v>
      </c>
    </row>
    <row r="2948" spans="1:6">
      <c r="A2948" s="403">
        <v>5652</v>
      </c>
      <c r="B2948" s="403">
        <v>29</v>
      </c>
      <c r="C2948" s="166">
        <v>963</v>
      </c>
      <c r="D2948" s="166">
        <v>229</v>
      </c>
      <c r="E2948" s="166" t="s">
        <v>1105</v>
      </c>
      <c r="F2948" s="166">
        <v>2038.6921495327094</v>
      </c>
    </row>
    <row r="2949" spans="1:6">
      <c r="A2949" s="403">
        <v>5653</v>
      </c>
      <c r="B2949" s="403">
        <v>29</v>
      </c>
      <c r="C2949" s="166">
        <v>963</v>
      </c>
      <c r="D2949" s="166">
        <v>229</v>
      </c>
      <c r="E2949" s="166" t="s">
        <v>1105</v>
      </c>
      <c r="F2949" s="166">
        <v>2038.6921495327094</v>
      </c>
    </row>
    <row r="2950" spans="1:6">
      <c r="A2950" s="403">
        <v>5654</v>
      </c>
      <c r="B2950" s="403">
        <v>29</v>
      </c>
      <c r="C2950" s="166">
        <v>963</v>
      </c>
      <c r="D2950" s="166">
        <v>229</v>
      </c>
      <c r="E2950" s="166" t="s">
        <v>1105</v>
      </c>
      <c r="F2950" s="166">
        <v>2038.6921495327094</v>
      </c>
    </row>
    <row r="2951" spans="1:6">
      <c r="A2951" s="403">
        <v>5655</v>
      </c>
      <c r="B2951" s="403">
        <v>29</v>
      </c>
      <c r="C2951" s="166">
        <v>963</v>
      </c>
      <c r="D2951" s="166">
        <v>229</v>
      </c>
      <c r="E2951" s="166" t="s">
        <v>1105</v>
      </c>
      <c r="F2951" s="166">
        <v>2038.6921495327094</v>
      </c>
    </row>
    <row r="2952" spans="1:6">
      <c r="A2952" s="403">
        <v>5660</v>
      </c>
      <c r="B2952" s="403">
        <v>29</v>
      </c>
      <c r="C2952" s="166">
        <v>963</v>
      </c>
      <c r="D2952" s="166">
        <v>229</v>
      </c>
      <c r="E2952" s="166" t="s">
        <v>1105</v>
      </c>
      <c r="F2952" s="166">
        <v>2038.6921495327094</v>
      </c>
    </row>
    <row r="2953" spans="1:6">
      <c r="A2953" s="403">
        <v>5661</v>
      </c>
      <c r="B2953" s="403">
        <v>29</v>
      </c>
      <c r="C2953" s="166">
        <v>963</v>
      </c>
      <c r="D2953" s="166">
        <v>229</v>
      </c>
      <c r="E2953" s="166" t="s">
        <v>1105</v>
      </c>
      <c r="F2953" s="166">
        <v>2038.6921495327094</v>
      </c>
    </row>
    <row r="2954" spans="1:6">
      <c r="A2954" s="403">
        <v>5670</v>
      </c>
      <c r="B2954" s="403">
        <v>29</v>
      </c>
      <c r="C2954" s="166">
        <v>963</v>
      </c>
      <c r="D2954" s="166">
        <v>229</v>
      </c>
      <c r="E2954" s="166" t="s">
        <v>1105</v>
      </c>
      <c r="F2954" s="166">
        <v>2038.6921495327094</v>
      </c>
    </row>
    <row r="2955" spans="1:6">
      <c r="A2955" s="403">
        <v>5671</v>
      </c>
      <c r="B2955" s="403">
        <v>29</v>
      </c>
      <c r="C2955" s="166">
        <v>963</v>
      </c>
      <c r="D2955" s="166">
        <v>229</v>
      </c>
      <c r="E2955" s="166" t="s">
        <v>1105</v>
      </c>
      <c r="F2955" s="166">
        <v>2038.6921495327094</v>
      </c>
    </row>
    <row r="2956" spans="1:6">
      <c r="A2956" s="403">
        <v>5680</v>
      </c>
      <c r="B2956" s="403">
        <v>29</v>
      </c>
      <c r="C2956" s="166">
        <v>963</v>
      </c>
      <c r="D2956" s="166">
        <v>229</v>
      </c>
      <c r="E2956" s="166" t="s">
        <v>1105</v>
      </c>
      <c r="F2956" s="166">
        <v>2038.6921495327094</v>
      </c>
    </row>
    <row r="2957" spans="1:6">
      <c r="A2957" s="403">
        <v>5690</v>
      </c>
      <c r="B2957" s="403">
        <v>29</v>
      </c>
      <c r="C2957" s="166">
        <v>963</v>
      </c>
      <c r="D2957" s="166">
        <v>229</v>
      </c>
      <c r="E2957" s="166" t="s">
        <v>1105</v>
      </c>
      <c r="F2957" s="166">
        <v>2038.6921495327094</v>
      </c>
    </row>
    <row r="2958" spans="1:6">
      <c r="A2958" s="403">
        <v>5700</v>
      </c>
      <c r="B2958" s="403">
        <v>32</v>
      </c>
      <c r="C2958" s="166">
        <v>954</v>
      </c>
      <c r="D2958" s="166">
        <v>354</v>
      </c>
      <c r="E2958" s="166" t="s">
        <v>1105</v>
      </c>
      <c r="F2958" s="166">
        <v>1416.3980952380937</v>
      </c>
    </row>
    <row r="2959" spans="1:6">
      <c r="A2959" s="403">
        <v>5710</v>
      </c>
      <c r="B2959" s="403">
        <v>32</v>
      </c>
      <c r="C2959" s="166">
        <v>954</v>
      </c>
      <c r="D2959" s="166">
        <v>354</v>
      </c>
      <c r="E2959" s="166" t="s">
        <v>1105</v>
      </c>
      <c r="F2959" s="166">
        <v>1416.3980952380937</v>
      </c>
    </row>
    <row r="2960" spans="1:6">
      <c r="A2960" s="403">
        <v>5720</v>
      </c>
      <c r="B2960" s="403">
        <v>30</v>
      </c>
      <c r="C2960" s="166">
        <v>615</v>
      </c>
      <c r="D2960" s="166">
        <v>286</v>
      </c>
      <c r="E2960" s="166" t="s">
        <v>1105</v>
      </c>
      <c r="F2960" s="166">
        <v>3067.1387430047348</v>
      </c>
    </row>
    <row r="2961" spans="1:6">
      <c r="A2961" s="403">
        <v>5722</v>
      </c>
      <c r="B2961" s="403">
        <v>30</v>
      </c>
      <c r="C2961" s="166">
        <v>615</v>
      </c>
      <c r="D2961" s="166">
        <v>286</v>
      </c>
      <c r="E2961" s="166" t="s">
        <v>1105</v>
      </c>
      <c r="F2961" s="166">
        <v>3067.1387430047348</v>
      </c>
    </row>
    <row r="2962" spans="1:6">
      <c r="A2962" s="403">
        <v>5723</v>
      </c>
      <c r="B2962" s="403">
        <v>30</v>
      </c>
      <c r="C2962" s="166">
        <v>615</v>
      </c>
      <c r="D2962" s="166">
        <v>286</v>
      </c>
      <c r="E2962" s="166" t="s">
        <v>1105</v>
      </c>
      <c r="F2962" s="166">
        <v>3067.1387430047348</v>
      </c>
    </row>
    <row r="2963" spans="1:6">
      <c r="A2963" s="403">
        <v>5724</v>
      </c>
      <c r="B2963" s="403">
        <v>30</v>
      </c>
      <c r="C2963" s="166">
        <v>615</v>
      </c>
      <c r="D2963" s="166">
        <v>286</v>
      </c>
      <c r="E2963" s="166" t="s">
        <v>1105</v>
      </c>
      <c r="F2963" s="166">
        <v>3067.1387430047348</v>
      </c>
    </row>
    <row r="2964" spans="1:6">
      <c r="A2964" s="403">
        <v>5725</v>
      </c>
      <c r="B2964" s="403">
        <v>30</v>
      </c>
      <c r="C2964" s="166">
        <v>615</v>
      </c>
      <c r="D2964" s="166">
        <v>286</v>
      </c>
      <c r="E2964" s="166" t="s">
        <v>1105</v>
      </c>
      <c r="F2964" s="166">
        <v>3067.1387430047348</v>
      </c>
    </row>
    <row r="2965" spans="1:6">
      <c r="A2965" s="403">
        <v>5730</v>
      </c>
      <c r="B2965" s="403">
        <v>31</v>
      </c>
      <c r="C2965" s="166">
        <v>746</v>
      </c>
      <c r="D2965" s="166">
        <v>340</v>
      </c>
      <c r="E2965" s="166" t="s">
        <v>1105</v>
      </c>
      <c r="F2965" s="166">
        <v>3056.5480716452403</v>
      </c>
    </row>
    <row r="2966" spans="1:6">
      <c r="A2966" s="403">
        <v>5731</v>
      </c>
      <c r="B2966" s="403">
        <v>31</v>
      </c>
      <c r="C2966" s="166">
        <v>746</v>
      </c>
      <c r="D2966" s="166">
        <v>340</v>
      </c>
      <c r="E2966" s="166" t="s">
        <v>1105</v>
      </c>
      <c r="F2966" s="166">
        <v>3056.5480716452403</v>
      </c>
    </row>
    <row r="2967" spans="1:6">
      <c r="A2967" s="403">
        <v>5732</v>
      </c>
      <c r="B2967" s="403">
        <v>31</v>
      </c>
      <c r="C2967" s="166">
        <v>746</v>
      </c>
      <c r="D2967" s="166">
        <v>340</v>
      </c>
      <c r="E2967" s="166" t="s">
        <v>1105</v>
      </c>
      <c r="F2967" s="166">
        <v>3056.5480716452403</v>
      </c>
    </row>
    <row r="2968" spans="1:6">
      <c r="A2968" s="403">
        <v>5733</v>
      </c>
      <c r="B2968" s="403">
        <v>31</v>
      </c>
      <c r="C2968" s="166">
        <v>746</v>
      </c>
      <c r="D2968" s="166">
        <v>340</v>
      </c>
      <c r="E2968" s="166" t="s">
        <v>1105</v>
      </c>
      <c r="F2968" s="166">
        <v>3056.5480716452403</v>
      </c>
    </row>
    <row r="2969" spans="1:6">
      <c r="A2969" s="403">
        <v>5734</v>
      </c>
      <c r="B2969" s="403">
        <v>31</v>
      </c>
      <c r="C2969" s="166">
        <v>746</v>
      </c>
      <c r="D2969" s="166">
        <v>340</v>
      </c>
      <c r="E2969" s="166" t="s">
        <v>1105</v>
      </c>
      <c r="F2969" s="166">
        <v>3056.5480716452403</v>
      </c>
    </row>
    <row r="2970" spans="1:6">
      <c r="A2970" s="403">
        <v>5800</v>
      </c>
      <c r="B2970" s="403">
        <v>33</v>
      </c>
      <c r="C2970" s="166">
        <v>1554</v>
      </c>
      <c r="D2970" s="166">
        <v>132</v>
      </c>
      <c r="E2970" s="166" t="s">
        <v>1105</v>
      </c>
      <c r="F2970" s="166">
        <v>824.92361111111165</v>
      </c>
    </row>
    <row r="2971" spans="1:6">
      <c r="A2971" s="403">
        <v>5810</v>
      </c>
      <c r="B2971" s="403">
        <v>33</v>
      </c>
      <c r="C2971" s="166">
        <v>1554</v>
      </c>
      <c r="D2971" s="166">
        <v>132</v>
      </c>
      <c r="E2971" s="166" t="s">
        <v>1105</v>
      </c>
      <c r="F2971" s="166">
        <v>824.92361111111165</v>
      </c>
    </row>
    <row r="2972" spans="1:6">
      <c r="A2972" s="403">
        <v>5839</v>
      </c>
      <c r="B2972" s="403">
        <v>33</v>
      </c>
      <c r="C2972" s="166">
        <v>1554</v>
      </c>
      <c r="D2972" s="166">
        <v>132</v>
      </c>
      <c r="E2972" s="166" t="s">
        <v>1105</v>
      </c>
      <c r="F2972" s="166">
        <v>824.92361111111165</v>
      </c>
    </row>
    <row r="2973" spans="1:6">
      <c r="A2973" s="403">
        <v>5880</v>
      </c>
      <c r="B2973" s="403">
        <v>33</v>
      </c>
      <c r="C2973" s="166">
        <v>1554</v>
      </c>
      <c r="D2973" s="166">
        <v>132</v>
      </c>
      <c r="E2973" s="166" t="s">
        <v>1105</v>
      </c>
      <c r="F2973" s="166">
        <v>824.92361111111165</v>
      </c>
    </row>
    <row r="2974" spans="1:6">
      <c r="A2974" s="403">
        <v>5881</v>
      </c>
      <c r="B2974" s="403">
        <v>33</v>
      </c>
      <c r="C2974" s="166">
        <v>1554</v>
      </c>
      <c r="D2974" s="166">
        <v>132</v>
      </c>
      <c r="E2974" s="166" t="s">
        <v>1105</v>
      </c>
      <c r="F2974" s="166">
        <v>824.92361111111165</v>
      </c>
    </row>
    <row r="2975" spans="1:6">
      <c r="A2975" s="403">
        <v>5882</v>
      </c>
      <c r="B2975" s="403">
        <v>33</v>
      </c>
      <c r="C2975" s="166">
        <v>1554</v>
      </c>
      <c r="D2975" s="166">
        <v>132</v>
      </c>
      <c r="E2975" s="166" t="s">
        <v>1105</v>
      </c>
      <c r="F2975" s="166">
        <v>824.92361111111165</v>
      </c>
    </row>
    <row r="2976" spans="1:6">
      <c r="A2976" s="403">
        <v>5883</v>
      </c>
      <c r="B2976" s="403">
        <v>33</v>
      </c>
      <c r="C2976" s="166">
        <v>1554</v>
      </c>
      <c r="D2976" s="166">
        <v>132</v>
      </c>
      <c r="E2976" s="166" t="s">
        <v>1105</v>
      </c>
      <c r="F2976" s="166">
        <v>824.92361111111165</v>
      </c>
    </row>
    <row r="2977" spans="1:6">
      <c r="A2977" s="403">
        <v>5884</v>
      </c>
      <c r="B2977" s="403">
        <v>33</v>
      </c>
      <c r="C2977" s="166">
        <v>1554</v>
      </c>
      <c r="D2977" s="166">
        <v>132</v>
      </c>
      <c r="E2977" s="166" t="s">
        <v>1105</v>
      </c>
      <c r="F2977" s="166">
        <v>824.92361111111165</v>
      </c>
    </row>
    <row r="2978" spans="1:6">
      <c r="A2978" s="403">
        <v>5885</v>
      </c>
      <c r="B2978" s="403">
        <v>33</v>
      </c>
      <c r="C2978" s="166">
        <v>1554</v>
      </c>
      <c r="D2978" s="166">
        <v>132</v>
      </c>
      <c r="E2978" s="166" t="s">
        <v>1105</v>
      </c>
      <c r="F2978" s="166">
        <v>824.92361111111165</v>
      </c>
    </row>
    <row r="2979" spans="1:6">
      <c r="A2979" s="403">
        <v>5886</v>
      </c>
      <c r="B2979" s="403">
        <v>33</v>
      </c>
      <c r="C2979" s="166">
        <v>1554</v>
      </c>
      <c r="D2979" s="166">
        <v>132</v>
      </c>
      <c r="E2979" s="166" t="s">
        <v>1105</v>
      </c>
      <c r="F2979" s="166">
        <v>824.92361111111165</v>
      </c>
    </row>
    <row r="2980" spans="1:6">
      <c r="A2980" s="403">
        <v>5887</v>
      </c>
      <c r="B2980" s="403">
        <v>33</v>
      </c>
      <c r="C2980" s="166">
        <v>1554</v>
      </c>
      <c r="D2980" s="166">
        <v>132</v>
      </c>
      <c r="E2980" s="166" t="s">
        <v>1105</v>
      </c>
      <c r="F2980" s="166">
        <v>824.92361111111165</v>
      </c>
    </row>
    <row r="2981" spans="1:6">
      <c r="A2981" s="403">
        <v>5888</v>
      </c>
      <c r="B2981" s="403">
        <v>33</v>
      </c>
      <c r="C2981" s="166">
        <v>1554</v>
      </c>
      <c r="D2981" s="166">
        <v>132</v>
      </c>
      <c r="E2981" s="166" t="s">
        <v>1105</v>
      </c>
      <c r="F2981" s="166">
        <v>824.92361111111165</v>
      </c>
    </row>
    <row r="2982" spans="1:6">
      <c r="A2982" s="403">
        <v>5889</v>
      </c>
      <c r="B2982" s="403">
        <v>33</v>
      </c>
      <c r="C2982" s="166">
        <v>1554</v>
      </c>
      <c r="D2982" s="166">
        <v>132</v>
      </c>
      <c r="E2982" s="166" t="s">
        <v>1105</v>
      </c>
      <c r="F2982" s="166">
        <v>824.92361111111165</v>
      </c>
    </row>
    <row r="2983" spans="1:6">
      <c r="A2983" s="403">
        <v>5942</v>
      </c>
      <c r="B2983" s="403">
        <v>33</v>
      </c>
      <c r="C2983" s="166">
        <v>1554</v>
      </c>
      <c r="D2983" s="166">
        <v>132</v>
      </c>
      <c r="E2983" s="166" t="s">
        <v>1105</v>
      </c>
      <c r="F2983" s="166">
        <v>824.92361111111165</v>
      </c>
    </row>
    <row r="2984" spans="1:6">
      <c r="A2984" s="403">
        <v>5950</v>
      </c>
      <c r="B2984" s="403">
        <v>33</v>
      </c>
      <c r="C2984" s="166">
        <v>1554</v>
      </c>
      <c r="D2984" s="166">
        <v>132</v>
      </c>
      <c r="E2984" s="166" t="s">
        <v>1105</v>
      </c>
      <c r="F2984" s="166">
        <v>824.92361111111165</v>
      </c>
    </row>
    <row r="2985" spans="1:6">
      <c r="A2985" s="403">
        <v>6000</v>
      </c>
      <c r="B2985" s="403">
        <v>7</v>
      </c>
      <c r="C2985" s="166">
        <v>680</v>
      </c>
      <c r="D2985" s="166">
        <v>340</v>
      </c>
      <c r="E2985" s="166" t="s">
        <v>1108</v>
      </c>
      <c r="F2985" s="166">
        <v>1648.3206367924527</v>
      </c>
    </row>
    <row r="2986" spans="1:6">
      <c r="A2986" s="403">
        <v>6001</v>
      </c>
      <c r="B2986" s="403">
        <v>7</v>
      </c>
      <c r="C2986" s="166">
        <v>680</v>
      </c>
      <c r="D2986" s="166">
        <v>340</v>
      </c>
      <c r="E2986" s="166" t="s">
        <v>1108</v>
      </c>
      <c r="F2986" s="166">
        <v>1648.3206367924527</v>
      </c>
    </row>
    <row r="2987" spans="1:6">
      <c r="A2987" s="403">
        <v>6003</v>
      </c>
      <c r="B2987" s="403">
        <v>7</v>
      </c>
      <c r="C2987" s="166">
        <v>680</v>
      </c>
      <c r="D2987" s="166">
        <v>340</v>
      </c>
      <c r="E2987" s="166" t="s">
        <v>1108</v>
      </c>
      <c r="F2987" s="166">
        <v>1648.3206367924527</v>
      </c>
    </row>
    <row r="2988" spans="1:6">
      <c r="A2988" s="403">
        <v>6004</v>
      </c>
      <c r="B2988" s="403">
        <v>7</v>
      </c>
      <c r="C2988" s="166">
        <v>680</v>
      </c>
      <c r="D2988" s="166">
        <v>340</v>
      </c>
      <c r="E2988" s="166" t="s">
        <v>1108</v>
      </c>
      <c r="F2988" s="166">
        <v>1648.3206367924527</v>
      </c>
    </row>
    <row r="2989" spans="1:6">
      <c r="A2989" s="403">
        <v>6005</v>
      </c>
      <c r="B2989" s="403">
        <v>7</v>
      </c>
      <c r="C2989" s="166">
        <v>680</v>
      </c>
      <c r="D2989" s="166">
        <v>340</v>
      </c>
      <c r="E2989" s="166" t="s">
        <v>1108</v>
      </c>
      <c r="F2989" s="166">
        <v>1648.3206367924527</v>
      </c>
    </row>
    <row r="2990" spans="1:6">
      <c r="A2990" s="403">
        <v>6006</v>
      </c>
      <c r="B2990" s="403">
        <v>7</v>
      </c>
      <c r="C2990" s="166">
        <v>680</v>
      </c>
      <c r="D2990" s="166">
        <v>340</v>
      </c>
      <c r="E2990" s="166" t="s">
        <v>1108</v>
      </c>
      <c r="F2990" s="166">
        <v>1648.3206367924527</v>
      </c>
    </row>
    <row r="2991" spans="1:6">
      <c r="A2991" s="403">
        <v>6007</v>
      </c>
      <c r="B2991" s="403">
        <v>7</v>
      </c>
      <c r="C2991" s="166">
        <v>680</v>
      </c>
      <c r="D2991" s="166">
        <v>340</v>
      </c>
      <c r="E2991" s="166" t="s">
        <v>1108</v>
      </c>
      <c r="F2991" s="166">
        <v>1648.3206367924527</v>
      </c>
    </row>
    <row r="2992" spans="1:6">
      <c r="A2992" s="403">
        <v>6008</v>
      </c>
      <c r="B2992" s="403">
        <v>7</v>
      </c>
      <c r="C2992" s="166">
        <v>680</v>
      </c>
      <c r="D2992" s="166">
        <v>340</v>
      </c>
      <c r="E2992" s="166" t="s">
        <v>1108</v>
      </c>
      <c r="F2992" s="166">
        <v>1648.3206367924527</v>
      </c>
    </row>
    <row r="2993" spans="1:6">
      <c r="A2993" s="403">
        <v>6009</v>
      </c>
      <c r="B2993" s="403">
        <v>7</v>
      </c>
      <c r="C2993" s="166">
        <v>680</v>
      </c>
      <c r="D2993" s="166">
        <v>340</v>
      </c>
      <c r="E2993" s="166" t="s">
        <v>1108</v>
      </c>
      <c r="F2993" s="166">
        <v>1648.3206367924527</v>
      </c>
    </row>
    <row r="2994" spans="1:6">
      <c r="A2994" s="403">
        <v>6010</v>
      </c>
      <c r="B2994" s="403">
        <v>7</v>
      </c>
      <c r="C2994" s="166">
        <v>680</v>
      </c>
      <c r="D2994" s="166">
        <v>340</v>
      </c>
      <c r="E2994" s="166" t="s">
        <v>1108</v>
      </c>
      <c r="F2994" s="166">
        <v>1648.3206367924527</v>
      </c>
    </row>
    <row r="2995" spans="1:6">
      <c r="A2995" s="403">
        <v>6011</v>
      </c>
      <c r="B2995" s="403">
        <v>7</v>
      </c>
      <c r="C2995" s="166">
        <v>680</v>
      </c>
      <c r="D2995" s="166">
        <v>340</v>
      </c>
      <c r="E2995" s="166" t="s">
        <v>1108</v>
      </c>
      <c r="F2995" s="166">
        <v>1648.3206367924527</v>
      </c>
    </row>
    <row r="2996" spans="1:6">
      <c r="A2996" s="403">
        <v>6012</v>
      </c>
      <c r="B2996" s="403">
        <v>7</v>
      </c>
      <c r="C2996" s="166">
        <v>680</v>
      </c>
      <c r="D2996" s="166">
        <v>340</v>
      </c>
      <c r="E2996" s="166" t="s">
        <v>1108</v>
      </c>
      <c r="F2996" s="166">
        <v>1648.3206367924527</v>
      </c>
    </row>
    <row r="2997" spans="1:6">
      <c r="A2997" s="403">
        <v>6014</v>
      </c>
      <c r="B2997" s="403">
        <v>7</v>
      </c>
      <c r="C2997" s="166">
        <v>680</v>
      </c>
      <c r="D2997" s="166">
        <v>340</v>
      </c>
      <c r="E2997" s="166" t="s">
        <v>1108</v>
      </c>
      <c r="F2997" s="166">
        <v>1648.3206367924527</v>
      </c>
    </row>
    <row r="2998" spans="1:6">
      <c r="A2998" s="403">
        <v>6015</v>
      </c>
      <c r="B2998" s="403">
        <v>7</v>
      </c>
      <c r="C2998" s="166">
        <v>680</v>
      </c>
      <c r="D2998" s="166">
        <v>340</v>
      </c>
      <c r="E2998" s="166" t="s">
        <v>1108</v>
      </c>
      <c r="F2998" s="166">
        <v>1648.3206367924527</v>
      </c>
    </row>
    <row r="2999" spans="1:6">
      <c r="A2999" s="403">
        <v>6016</v>
      </c>
      <c r="B2999" s="403">
        <v>7</v>
      </c>
      <c r="C2999" s="166">
        <v>680</v>
      </c>
      <c r="D2999" s="166">
        <v>340</v>
      </c>
      <c r="E2999" s="166" t="s">
        <v>1108</v>
      </c>
      <c r="F2999" s="166">
        <v>1648.3206367924527</v>
      </c>
    </row>
    <row r="3000" spans="1:6">
      <c r="A3000" s="403">
        <v>6017</v>
      </c>
      <c r="B3000" s="403">
        <v>7</v>
      </c>
      <c r="C3000" s="166">
        <v>680</v>
      </c>
      <c r="D3000" s="166">
        <v>340</v>
      </c>
      <c r="E3000" s="166" t="s">
        <v>1108</v>
      </c>
      <c r="F3000" s="166">
        <v>1648.3206367924527</v>
      </c>
    </row>
    <row r="3001" spans="1:6">
      <c r="A3001" s="403">
        <v>6018</v>
      </c>
      <c r="B3001" s="403">
        <v>7</v>
      </c>
      <c r="C3001" s="166">
        <v>680</v>
      </c>
      <c r="D3001" s="166">
        <v>340</v>
      </c>
      <c r="E3001" s="166" t="s">
        <v>1108</v>
      </c>
      <c r="F3001" s="166">
        <v>1648.3206367924527</v>
      </c>
    </row>
    <row r="3002" spans="1:6">
      <c r="A3002" s="403">
        <v>6019</v>
      </c>
      <c r="B3002" s="403">
        <v>7</v>
      </c>
      <c r="C3002" s="166">
        <v>680</v>
      </c>
      <c r="D3002" s="166">
        <v>340</v>
      </c>
      <c r="E3002" s="166" t="s">
        <v>1108</v>
      </c>
      <c r="F3002" s="166">
        <v>1648.3206367924527</v>
      </c>
    </row>
    <row r="3003" spans="1:6">
      <c r="A3003" s="403">
        <v>6020</v>
      </c>
      <c r="B3003" s="403">
        <v>7</v>
      </c>
      <c r="C3003" s="166">
        <v>680</v>
      </c>
      <c r="D3003" s="166">
        <v>340</v>
      </c>
      <c r="E3003" s="166" t="s">
        <v>1108</v>
      </c>
      <c r="F3003" s="166">
        <v>1648.3206367924527</v>
      </c>
    </row>
    <row r="3004" spans="1:6">
      <c r="A3004" s="403">
        <v>6021</v>
      </c>
      <c r="B3004" s="403">
        <v>7</v>
      </c>
      <c r="C3004" s="166">
        <v>680</v>
      </c>
      <c r="D3004" s="166">
        <v>340</v>
      </c>
      <c r="E3004" s="166" t="s">
        <v>1108</v>
      </c>
      <c r="F3004" s="166">
        <v>1648.3206367924527</v>
      </c>
    </row>
    <row r="3005" spans="1:6">
      <c r="A3005" s="403">
        <v>6022</v>
      </c>
      <c r="B3005" s="403">
        <v>7</v>
      </c>
      <c r="C3005" s="166">
        <v>680</v>
      </c>
      <c r="D3005" s="166">
        <v>340</v>
      </c>
      <c r="E3005" s="166" t="s">
        <v>1108</v>
      </c>
      <c r="F3005" s="166">
        <v>1648.3206367924527</v>
      </c>
    </row>
    <row r="3006" spans="1:6">
      <c r="A3006" s="403">
        <v>6023</v>
      </c>
      <c r="B3006" s="403">
        <v>7</v>
      </c>
      <c r="C3006" s="166">
        <v>680</v>
      </c>
      <c r="D3006" s="166">
        <v>340</v>
      </c>
      <c r="E3006" s="166" t="s">
        <v>1108</v>
      </c>
      <c r="F3006" s="166">
        <v>1648.3206367924527</v>
      </c>
    </row>
    <row r="3007" spans="1:6">
      <c r="A3007" s="403">
        <v>6024</v>
      </c>
      <c r="B3007" s="403">
        <v>7</v>
      </c>
      <c r="C3007" s="166">
        <v>680</v>
      </c>
      <c r="D3007" s="166">
        <v>340</v>
      </c>
      <c r="E3007" s="166" t="s">
        <v>1108</v>
      </c>
      <c r="F3007" s="166">
        <v>1648.3206367924527</v>
      </c>
    </row>
    <row r="3008" spans="1:6">
      <c r="A3008" s="403">
        <v>6025</v>
      </c>
      <c r="B3008" s="403">
        <v>7</v>
      </c>
      <c r="C3008" s="166">
        <v>680</v>
      </c>
      <c r="D3008" s="166">
        <v>340</v>
      </c>
      <c r="E3008" s="166" t="s">
        <v>1108</v>
      </c>
      <c r="F3008" s="166">
        <v>1648.3206367924527</v>
      </c>
    </row>
    <row r="3009" spans="1:6">
      <c r="A3009" s="403">
        <v>6026</v>
      </c>
      <c r="B3009" s="403">
        <v>7</v>
      </c>
      <c r="C3009" s="166">
        <v>680</v>
      </c>
      <c r="D3009" s="166">
        <v>340</v>
      </c>
      <c r="E3009" s="166" t="s">
        <v>1108</v>
      </c>
      <c r="F3009" s="166">
        <v>1648.3206367924527</v>
      </c>
    </row>
    <row r="3010" spans="1:6">
      <c r="A3010" s="403">
        <v>6027</v>
      </c>
      <c r="B3010" s="403">
        <v>7</v>
      </c>
      <c r="C3010" s="166">
        <v>680</v>
      </c>
      <c r="D3010" s="166">
        <v>340</v>
      </c>
      <c r="E3010" s="166" t="s">
        <v>1108</v>
      </c>
      <c r="F3010" s="166">
        <v>1648.3206367924527</v>
      </c>
    </row>
    <row r="3011" spans="1:6">
      <c r="A3011" s="403">
        <v>6028</v>
      </c>
      <c r="B3011" s="403">
        <v>7</v>
      </c>
      <c r="C3011" s="166">
        <v>680</v>
      </c>
      <c r="D3011" s="166">
        <v>340</v>
      </c>
      <c r="E3011" s="166" t="s">
        <v>1108</v>
      </c>
      <c r="F3011" s="166">
        <v>1648.3206367924527</v>
      </c>
    </row>
    <row r="3012" spans="1:6">
      <c r="A3012" s="403">
        <v>6029</v>
      </c>
      <c r="B3012" s="403">
        <v>7</v>
      </c>
      <c r="C3012" s="166">
        <v>680</v>
      </c>
      <c r="D3012" s="166">
        <v>340</v>
      </c>
      <c r="E3012" s="166" t="s">
        <v>1108</v>
      </c>
      <c r="F3012" s="166">
        <v>1648.3206367924527</v>
      </c>
    </row>
    <row r="3013" spans="1:6">
      <c r="A3013" s="403">
        <v>6030</v>
      </c>
      <c r="B3013" s="403">
        <v>7</v>
      </c>
      <c r="C3013" s="166">
        <v>680</v>
      </c>
      <c r="D3013" s="166">
        <v>340</v>
      </c>
      <c r="E3013" s="166" t="s">
        <v>1108</v>
      </c>
      <c r="F3013" s="166">
        <v>1648.3206367924527</v>
      </c>
    </row>
    <row r="3014" spans="1:6">
      <c r="A3014" s="403">
        <v>6031</v>
      </c>
      <c r="B3014" s="403">
        <v>7</v>
      </c>
      <c r="C3014" s="166">
        <v>680</v>
      </c>
      <c r="D3014" s="166">
        <v>340</v>
      </c>
      <c r="E3014" s="166" t="s">
        <v>1108</v>
      </c>
      <c r="F3014" s="166">
        <v>1648.3206367924527</v>
      </c>
    </row>
    <row r="3015" spans="1:6">
      <c r="A3015" s="403">
        <v>6032</v>
      </c>
      <c r="B3015" s="403">
        <v>7</v>
      </c>
      <c r="C3015" s="166">
        <v>680</v>
      </c>
      <c r="D3015" s="166">
        <v>340</v>
      </c>
      <c r="E3015" s="166" t="s">
        <v>1108</v>
      </c>
      <c r="F3015" s="166">
        <v>1648.3206367924527</v>
      </c>
    </row>
    <row r="3016" spans="1:6">
      <c r="A3016" s="403">
        <v>6033</v>
      </c>
      <c r="B3016" s="403">
        <v>7</v>
      </c>
      <c r="C3016" s="166">
        <v>680</v>
      </c>
      <c r="D3016" s="166">
        <v>340</v>
      </c>
      <c r="E3016" s="166" t="s">
        <v>1108</v>
      </c>
      <c r="F3016" s="166">
        <v>1648.3206367924527</v>
      </c>
    </row>
    <row r="3017" spans="1:6">
      <c r="A3017" s="403">
        <v>6034</v>
      </c>
      <c r="B3017" s="403">
        <v>7</v>
      </c>
      <c r="C3017" s="166">
        <v>680</v>
      </c>
      <c r="D3017" s="166">
        <v>340</v>
      </c>
      <c r="E3017" s="166" t="s">
        <v>1108</v>
      </c>
      <c r="F3017" s="166">
        <v>1648.3206367924527</v>
      </c>
    </row>
    <row r="3018" spans="1:6">
      <c r="A3018" s="403">
        <v>6035</v>
      </c>
      <c r="B3018" s="403">
        <v>7</v>
      </c>
      <c r="C3018" s="166">
        <v>680</v>
      </c>
      <c r="D3018" s="166">
        <v>340</v>
      </c>
      <c r="E3018" s="166" t="s">
        <v>1108</v>
      </c>
      <c r="F3018" s="166">
        <v>1648.3206367924527</v>
      </c>
    </row>
    <row r="3019" spans="1:6">
      <c r="A3019" s="403">
        <v>6036</v>
      </c>
      <c r="B3019" s="403">
        <v>7</v>
      </c>
      <c r="C3019" s="166">
        <v>680</v>
      </c>
      <c r="D3019" s="166">
        <v>340</v>
      </c>
      <c r="E3019" s="166" t="s">
        <v>1108</v>
      </c>
      <c r="F3019" s="166">
        <v>1648.3206367924527</v>
      </c>
    </row>
    <row r="3020" spans="1:6">
      <c r="A3020" s="403">
        <v>6037</v>
      </c>
      <c r="B3020" s="403">
        <v>7</v>
      </c>
      <c r="C3020" s="166">
        <v>680</v>
      </c>
      <c r="D3020" s="166">
        <v>340</v>
      </c>
      <c r="E3020" s="166" t="s">
        <v>1108</v>
      </c>
      <c r="F3020" s="166">
        <v>1648.3206367924527</v>
      </c>
    </row>
    <row r="3021" spans="1:6">
      <c r="A3021" s="403">
        <v>6038</v>
      </c>
      <c r="B3021" s="403">
        <v>7</v>
      </c>
      <c r="C3021" s="166">
        <v>680</v>
      </c>
      <c r="D3021" s="166">
        <v>340</v>
      </c>
      <c r="E3021" s="166" t="s">
        <v>1108</v>
      </c>
      <c r="F3021" s="166">
        <v>1648.3206367924527</v>
      </c>
    </row>
    <row r="3022" spans="1:6">
      <c r="A3022" s="403">
        <v>6041</v>
      </c>
      <c r="B3022" s="403">
        <v>7</v>
      </c>
      <c r="C3022" s="166">
        <v>680</v>
      </c>
      <c r="D3022" s="166">
        <v>340</v>
      </c>
      <c r="E3022" s="166" t="s">
        <v>1108</v>
      </c>
      <c r="F3022" s="166">
        <v>1648.3206367924527</v>
      </c>
    </row>
    <row r="3023" spans="1:6">
      <c r="A3023" s="403">
        <v>6042</v>
      </c>
      <c r="B3023" s="403">
        <v>7</v>
      </c>
      <c r="C3023" s="166">
        <v>680</v>
      </c>
      <c r="D3023" s="166">
        <v>340</v>
      </c>
      <c r="E3023" s="166" t="s">
        <v>1108</v>
      </c>
      <c r="F3023" s="166">
        <v>1648.3206367924527</v>
      </c>
    </row>
    <row r="3024" spans="1:6">
      <c r="A3024" s="403">
        <v>6043</v>
      </c>
      <c r="B3024" s="403">
        <v>7</v>
      </c>
      <c r="C3024" s="166">
        <v>680</v>
      </c>
      <c r="D3024" s="166">
        <v>340</v>
      </c>
      <c r="E3024" s="166" t="s">
        <v>1108</v>
      </c>
      <c r="F3024" s="166">
        <v>1648.3206367924527</v>
      </c>
    </row>
    <row r="3025" spans="1:6">
      <c r="A3025" s="403">
        <v>6044</v>
      </c>
      <c r="B3025" s="403">
        <v>7</v>
      </c>
      <c r="C3025" s="166">
        <v>680</v>
      </c>
      <c r="D3025" s="166">
        <v>340</v>
      </c>
      <c r="E3025" s="166" t="s">
        <v>1108</v>
      </c>
      <c r="F3025" s="166">
        <v>1648.3206367924527</v>
      </c>
    </row>
    <row r="3026" spans="1:6">
      <c r="A3026" s="403">
        <v>6050</v>
      </c>
      <c r="B3026" s="403">
        <v>7</v>
      </c>
      <c r="C3026" s="166">
        <v>680</v>
      </c>
      <c r="D3026" s="166">
        <v>340</v>
      </c>
      <c r="E3026" s="166" t="s">
        <v>1108</v>
      </c>
      <c r="F3026" s="166">
        <v>1648.3206367924527</v>
      </c>
    </row>
    <row r="3027" spans="1:6">
      <c r="A3027" s="403">
        <v>6051</v>
      </c>
      <c r="B3027" s="403">
        <v>7</v>
      </c>
      <c r="C3027" s="166">
        <v>680</v>
      </c>
      <c r="D3027" s="166">
        <v>340</v>
      </c>
      <c r="E3027" s="166" t="s">
        <v>1108</v>
      </c>
      <c r="F3027" s="166">
        <v>1648.3206367924527</v>
      </c>
    </row>
    <row r="3028" spans="1:6">
      <c r="A3028" s="403">
        <v>6052</v>
      </c>
      <c r="B3028" s="403">
        <v>7</v>
      </c>
      <c r="C3028" s="166">
        <v>680</v>
      </c>
      <c r="D3028" s="166">
        <v>340</v>
      </c>
      <c r="E3028" s="166" t="s">
        <v>1108</v>
      </c>
      <c r="F3028" s="166">
        <v>1648.3206367924527</v>
      </c>
    </row>
    <row r="3029" spans="1:6">
      <c r="A3029" s="403">
        <v>6053</v>
      </c>
      <c r="B3029" s="403">
        <v>7</v>
      </c>
      <c r="C3029" s="166">
        <v>680</v>
      </c>
      <c r="D3029" s="166">
        <v>340</v>
      </c>
      <c r="E3029" s="166" t="s">
        <v>1108</v>
      </c>
      <c r="F3029" s="166">
        <v>1648.3206367924527</v>
      </c>
    </row>
    <row r="3030" spans="1:6">
      <c r="A3030" s="403">
        <v>6054</v>
      </c>
      <c r="B3030" s="403">
        <v>7</v>
      </c>
      <c r="C3030" s="166">
        <v>680</v>
      </c>
      <c r="D3030" s="166">
        <v>340</v>
      </c>
      <c r="E3030" s="166" t="s">
        <v>1108</v>
      </c>
      <c r="F3030" s="166">
        <v>1648.3206367924527</v>
      </c>
    </row>
    <row r="3031" spans="1:6">
      <c r="A3031" s="403">
        <v>6055</v>
      </c>
      <c r="B3031" s="403">
        <v>7</v>
      </c>
      <c r="C3031" s="166">
        <v>680</v>
      </c>
      <c r="D3031" s="166">
        <v>340</v>
      </c>
      <c r="E3031" s="166" t="s">
        <v>1108</v>
      </c>
      <c r="F3031" s="166">
        <v>1648.3206367924527</v>
      </c>
    </row>
    <row r="3032" spans="1:6">
      <c r="A3032" s="403">
        <v>6056</v>
      </c>
      <c r="B3032" s="403">
        <v>7</v>
      </c>
      <c r="C3032" s="166">
        <v>680</v>
      </c>
      <c r="D3032" s="166">
        <v>340</v>
      </c>
      <c r="E3032" s="166" t="s">
        <v>1108</v>
      </c>
      <c r="F3032" s="166">
        <v>1648.3206367924527</v>
      </c>
    </row>
    <row r="3033" spans="1:6">
      <c r="A3033" s="403">
        <v>6057</v>
      </c>
      <c r="B3033" s="403">
        <v>7</v>
      </c>
      <c r="C3033" s="166">
        <v>680</v>
      </c>
      <c r="D3033" s="166">
        <v>340</v>
      </c>
      <c r="E3033" s="166" t="s">
        <v>1108</v>
      </c>
      <c r="F3033" s="166">
        <v>1648.3206367924527</v>
      </c>
    </row>
    <row r="3034" spans="1:6">
      <c r="A3034" s="403">
        <v>6058</v>
      </c>
      <c r="B3034" s="403">
        <v>7</v>
      </c>
      <c r="C3034" s="166">
        <v>680</v>
      </c>
      <c r="D3034" s="166">
        <v>340</v>
      </c>
      <c r="E3034" s="166" t="s">
        <v>1108</v>
      </c>
      <c r="F3034" s="166">
        <v>1648.3206367924527</v>
      </c>
    </row>
    <row r="3035" spans="1:6">
      <c r="A3035" s="403">
        <v>6059</v>
      </c>
      <c r="B3035" s="403">
        <v>7</v>
      </c>
      <c r="C3035" s="166">
        <v>680</v>
      </c>
      <c r="D3035" s="166">
        <v>340</v>
      </c>
      <c r="E3035" s="166" t="s">
        <v>1108</v>
      </c>
      <c r="F3035" s="166">
        <v>1648.3206367924527</v>
      </c>
    </row>
    <row r="3036" spans="1:6">
      <c r="A3036" s="403">
        <v>6060</v>
      </c>
      <c r="B3036" s="403">
        <v>7</v>
      </c>
      <c r="C3036" s="166">
        <v>680</v>
      </c>
      <c r="D3036" s="166">
        <v>340</v>
      </c>
      <c r="E3036" s="166" t="s">
        <v>1108</v>
      </c>
      <c r="F3036" s="166">
        <v>1648.3206367924527</v>
      </c>
    </row>
    <row r="3037" spans="1:6">
      <c r="A3037" s="403">
        <v>6061</v>
      </c>
      <c r="B3037" s="403">
        <v>7</v>
      </c>
      <c r="C3037" s="166">
        <v>680</v>
      </c>
      <c r="D3037" s="166">
        <v>340</v>
      </c>
      <c r="E3037" s="166" t="s">
        <v>1108</v>
      </c>
      <c r="F3037" s="166">
        <v>1648.3206367924527</v>
      </c>
    </row>
    <row r="3038" spans="1:6">
      <c r="A3038" s="403">
        <v>6062</v>
      </c>
      <c r="B3038" s="403">
        <v>7</v>
      </c>
      <c r="C3038" s="166">
        <v>680</v>
      </c>
      <c r="D3038" s="166">
        <v>340</v>
      </c>
      <c r="E3038" s="166" t="s">
        <v>1108</v>
      </c>
      <c r="F3038" s="166">
        <v>1648.3206367924527</v>
      </c>
    </row>
    <row r="3039" spans="1:6">
      <c r="A3039" s="403">
        <v>6063</v>
      </c>
      <c r="B3039" s="403">
        <v>7</v>
      </c>
      <c r="C3039" s="166">
        <v>680</v>
      </c>
      <c r="D3039" s="166">
        <v>340</v>
      </c>
      <c r="E3039" s="166" t="s">
        <v>1108</v>
      </c>
      <c r="F3039" s="166">
        <v>1648.3206367924527</v>
      </c>
    </row>
    <row r="3040" spans="1:6">
      <c r="A3040" s="403">
        <v>6064</v>
      </c>
      <c r="B3040" s="403">
        <v>7</v>
      </c>
      <c r="C3040" s="166">
        <v>680</v>
      </c>
      <c r="D3040" s="166">
        <v>340</v>
      </c>
      <c r="E3040" s="166" t="s">
        <v>1108</v>
      </c>
      <c r="F3040" s="166">
        <v>1648.3206367924527</v>
      </c>
    </row>
    <row r="3041" spans="1:6">
      <c r="A3041" s="403">
        <v>6065</v>
      </c>
      <c r="B3041" s="403">
        <v>7</v>
      </c>
      <c r="C3041" s="166">
        <v>680</v>
      </c>
      <c r="D3041" s="166">
        <v>340</v>
      </c>
      <c r="E3041" s="166" t="s">
        <v>1108</v>
      </c>
      <c r="F3041" s="166">
        <v>1648.3206367924527</v>
      </c>
    </row>
    <row r="3042" spans="1:6">
      <c r="A3042" s="403">
        <v>6066</v>
      </c>
      <c r="B3042" s="403">
        <v>7</v>
      </c>
      <c r="C3042" s="166">
        <v>680</v>
      </c>
      <c r="D3042" s="166">
        <v>340</v>
      </c>
      <c r="E3042" s="166" t="s">
        <v>1108</v>
      </c>
      <c r="F3042" s="166">
        <v>1648.3206367924527</v>
      </c>
    </row>
    <row r="3043" spans="1:6">
      <c r="A3043" s="403">
        <v>6067</v>
      </c>
      <c r="B3043" s="403">
        <v>7</v>
      </c>
      <c r="C3043" s="166">
        <v>680</v>
      </c>
      <c r="D3043" s="166">
        <v>340</v>
      </c>
      <c r="E3043" s="166" t="s">
        <v>1108</v>
      </c>
      <c r="F3043" s="166">
        <v>1648.3206367924527</v>
      </c>
    </row>
    <row r="3044" spans="1:6">
      <c r="A3044" s="403">
        <v>6068</v>
      </c>
      <c r="B3044" s="403">
        <v>7</v>
      </c>
      <c r="C3044" s="166">
        <v>680</v>
      </c>
      <c r="D3044" s="166">
        <v>340</v>
      </c>
      <c r="E3044" s="166" t="s">
        <v>1108</v>
      </c>
      <c r="F3044" s="166">
        <v>1648.3206367924527</v>
      </c>
    </row>
    <row r="3045" spans="1:6">
      <c r="A3045" s="403">
        <v>6069</v>
      </c>
      <c r="B3045" s="403">
        <v>7</v>
      </c>
      <c r="C3045" s="166">
        <v>680</v>
      </c>
      <c r="D3045" s="166">
        <v>340</v>
      </c>
      <c r="E3045" s="166" t="s">
        <v>1108</v>
      </c>
      <c r="F3045" s="166">
        <v>1648.3206367924527</v>
      </c>
    </row>
    <row r="3046" spans="1:6">
      <c r="A3046" s="403">
        <v>6070</v>
      </c>
      <c r="B3046" s="403">
        <v>7</v>
      </c>
      <c r="C3046" s="166">
        <v>680</v>
      </c>
      <c r="D3046" s="166">
        <v>340</v>
      </c>
      <c r="E3046" s="166" t="s">
        <v>1108</v>
      </c>
      <c r="F3046" s="166">
        <v>1648.3206367924527</v>
      </c>
    </row>
    <row r="3047" spans="1:6">
      <c r="A3047" s="403">
        <v>6071</v>
      </c>
      <c r="B3047" s="403">
        <v>7</v>
      </c>
      <c r="C3047" s="166">
        <v>680</v>
      </c>
      <c r="D3047" s="166">
        <v>340</v>
      </c>
      <c r="E3047" s="166" t="s">
        <v>1108</v>
      </c>
      <c r="F3047" s="166">
        <v>1648.3206367924527</v>
      </c>
    </row>
    <row r="3048" spans="1:6">
      <c r="A3048" s="403">
        <v>6072</v>
      </c>
      <c r="B3048" s="403">
        <v>7</v>
      </c>
      <c r="C3048" s="166">
        <v>680</v>
      </c>
      <c r="D3048" s="166">
        <v>340</v>
      </c>
      <c r="E3048" s="166" t="s">
        <v>1108</v>
      </c>
      <c r="F3048" s="166">
        <v>1648.3206367924527</v>
      </c>
    </row>
    <row r="3049" spans="1:6">
      <c r="A3049" s="403">
        <v>6073</v>
      </c>
      <c r="B3049" s="403">
        <v>7</v>
      </c>
      <c r="C3049" s="166">
        <v>680</v>
      </c>
      <c r="D3049" s="166">
        <v>340</v>
      </c>
      <c r="E3049" s="166" t="s">
        <v>1108</v>
      </c>
      <c r="F3049" s="166">
        <v>1648.3206367924527</v>
      </c>
    </row>
    <row r="3050" spans="1:6">
      <c r="A3050" s="403">
        <v>6074</v>
      </c>
      <c r="B3050" s="403">
        <v>7</v>
      </c>
      <c r="C3050" s="166">
        <v>680</v>
      </c>
      <c r="D3050" s="166">
        <v>340</v>
      </c>
      <c r="E3050" s="166" t="s">
        <v>1108</v>
      </c>
      <c r="F3050" s="166">
        <v>1648.3206367924527</v>
      </c>
    </row>
    <row r="3051" spans="1:6">
      <c r="A3051" s="403">
        <v>6076</v>
      </c>
      <c r="B3051" s="403">
        <v>7</v>
      </c>
      <c r="C3051" s="166">
        <v>680</v>
      </c>
      <c r="D3051" s="166">
        <v>340</v>
      </c>
      <c r="E3051" s="166" t="s">
        <v>1108</v>
      </c>
      <c r="F3051" s="166">
        <v>1648.3206367924527</v>
      </c>
    </row>
    <row r="3052" spans="1:6">
      <c r="A3052" s="403">
        <v>6081</v>
      </c>
      <c r="B3052" s="403">
        <v>7</v>
      </c>
      <c r="C3052" s="166">
        <v>680</v>
      </c>
      <c r="D3052" s="166">
        <v>340</v>
      </c>
      <c r="E3052" s="166" t="s">
        <v>1108</v>
      </c>
      <c r="F3052" s="166">
        <v>1648.3206367924527</v>
      </c>
    </row>
    <row r="3053" spans="1:6">
      <c r="A3053" s="403">
        <v>6082</v>
      </c>
      <c r="B3053" s="403">
        <v>7</v>
      </c>
      <c r="C3053" s="166">
        <v>680</v>
      </c>
      <c r="D3053" s="166">
        <v>340</v>
      </c>
      <c r="E3053" s="166" t="s">
        <v>1108</v>
      </c>
      <c r="F3053" s="166">
        <v>1648.3206367924527</v>
      </c>
    </row>
    <row r="3054" spans="1:6">
      <c r="A3054" s="403">
        <v>6083</v>
      </c>
      <c r="B3054" s="403">
        <v>7</v>
      </c>
      <c r="C3054" s="166">
        <v>680</v>
      </c>
      <c r="D3054" s="166">
        <v>340</v>
      </c>
      <c r="E3054" s="166" t="s">
        <v>1108</v>
      </c>
      <c r="F3054" s="166">
        <v>1648.3206367924527</v>
      </c>
    </row>
    <row r="3055" spans="1:6">
      <c r="A3055" s="403">
        <v>6084</v>
      </c>
      <c r="B3055" s="403">
        <v>7</v>
      </c>
      <c r="C3055" s="166">
        <v>680</v>
      </c>
      <c r="D3055" s="166">
        <v>340</v>
      </c>
      <c r="E3055" s="166" t="s">
        <v>1108</v>
      </c>
      <c r="F3055" s="166">
        <v>1648.3206367924527</v>
      </c>
    </row>
    <row r="3056" spans="1:6">
      <c r="A3056" s="403">
        <v>6090</v>
      </c>
      <c r="B3056" s="403">
        <v>7</v>
      </c>
      <c r="C3056" s="166">
        <v>680</v>
      </c>
      <c r="D3056" s="166">
        <v>340</v>
      </c>
      <c r="E3056" s="166" t="s">
        <v>1108</v>
      </c>
      <c r="F3056" s="166">
        <v>1648.3206367924527</v>
      </c>
    </row>
    <row r="3057" spans="1:6">
      <c r="A3057" s="403">
        <v>6100</v>
      </c>
      <c r="B3057" s="403">
        <v>7</v>
      </c>
      <c r="C3057" s="166">
        <v>680</v>
      </c>
      <c r="D3057" s="166">
        <v>340</v>
      </c>
      <c r="E3057" s="166" t="s">
        <v>1108</v>
      </c>
      <c r="F3057" s="166">
        <v>1648.3206367924527</v>
      </c>
    </row>
    <row r="3058" spans="1:6">
      <c r="A3058" s="403">
        <v>6101</v>
      </c>
      <c r="B3058" s="403">
        <v>7</v>
      </c>
      <c r="C3058" s="166">
        <v>680</v>
      </c>
      <c r="D3058" s="166">
        <v>340</v>
      </c>
      <c r="E3058" s="166" t="s">
        <v>1108</v>
      </c>
      <c r="F3058" s="166">
        <v>1648.3206367924527</v>
      </c>
    </row>
    <row r="3059" spans="1:6">
      <c r="A3059" s="403">
        <v>6102</v>
      </c>
      <c r="B3059" s="403">
        <v>7</v>
      </c>
      <c r="C3059" s="166">
        <v>680</v>
      </c>
      <c r="D3059" s="166">
        <v>340</v>
      </c>
      <c r="E3059" s="166" t="s">
        <v>1108</v>
      </c>
      <c r="F3059" s="166">
        <v>1648.3206367924527</v>
      </c>
    </row>
    <row r="3060" spans="1:6">
      <c r="A3060" s="403">
        <v>6103</v>
      </c>
      <c r="B3060" s="403">
        <v>7</v>
      </c>
      <c r="C3060" s="166">
        <v>680</v>
      </c>
      <c r="D3060" s="166">
        <v>340</v>
      </c>
      <c r="E3060" s="166" t="s">
        <v>1108</v>
      </c>
      <c r="F3060" s="166">
        <v>1648.3206367924527</v>
      </c>
    </row>
    <row r="3061" spans="1:6">
      <c r="A3061" s="403">
        <v>6104</v>
      </c>
      <c r="B3061" s="403">
        <v>7</v>
      </c>
      <c r="C3061" s="166">
        <v>680</v>
      </c>
      <c r="D3061" s="166">
        <v>340</v>
      </c>
      <c r="E3061" s="166" t="s">
        <v>1108</v>
      </c>
      <c r="F3061" s="166">
        <v>1648.3206367924527</v>
      </c>
    </row>
    <row r="3062" spans="1:6">
      <c r="A3062" s="403">
        <v>6105</v>
      </c>
      <c r="B3062" s="403">
        <v>7</v>
      </c>
      <c r="C3062" s="166">
        <v>680</v>
      </c>
      <c r="D3062" s="166">
        <v>340</v>
      </c>
      <c r="E3062" s="166" t="s">
        <v>1108</v>
      </c>
      <c r="F3062" s="166">
        <v>1648.3206367924527</v>
      </c>
    </row>
    <row r="3063" spans="1:6">
      <c r="A3063" s="403">
        <v>6106</v>
      </c>
      <c r="B3063" s="403">
        <v>7</v>
      </c>
      <c r="C3063" s="166">
        <v>680</v>
      </c>
      <c r="D3063" s="166">
        <v>340</v>
      </c>
      <c r="E3063" s="166" t="s">
        <v>1108</v>
      </c>
      <c r="F3063" s="166">
        <v>1648.3206367924527</v>
      </c>
    </row>
    <row r="3064" spans="1:6">
      <c r="A3064" s="403">
        <v>6107</v>
      </c>
      <c r="B3064" s="403">
        <v>7</v>
      </c>
      <c r="C3064" s="166">
        <v>680</v>
      </c>
      <c r="D3064" s="166">
        <v>340</v>
      </c>
      <c r="E3064" s="166" t="s">
        <v>1108</v>
      </c>
      <c r="F3064" s="166">
        <v>1648.3206367924527</v>
      </c>
    </row>
    <row r="3065" spans="1:6">
      <c r="A3065" s="403">
        <v>6108</v>
      </c>
      <c r="B3065" s="403">
        <v>7</v>
      </c>
      <c r="C3065" s="166">
        <v>680</v>
      </c>
      <c r="D3065" s="166">
        <v>340</v>
      </c>
      <c r="E3065" s="166" t="s">
        <v>1108</v>
      </c>
      <c r="F3065" s="166">
        <v>1648.3206367924527</v>
      </c>
    </row>
    <row r="3066" spans="1:6">
      <c r="A3066" s="403">
        <v>6109</v>
      </c>
      <c r="B3066" s="403">
        <v>7</v>
      </c>
      <c r="C3066" s="166">
        <v>680</v>
      </c>
      <c r="D3066" s="166">
        <v>340</v>
      </c>
      <c r="E3066" s="166" t="s">
        <v>1108</v>
      </c>
      <c r="F3066" s="166">
        <v>1648.3206367924527</v>
      </c>
    </row>
    <row r="3067" spans="1:6">
      <c r="A3067" s="403">
        <v>6110</v>
      </c>
      <c r="B3067" s="403">
        <v>7</v>
      </c>
      <c r="C3067" s="166">
        <v>680</v>
      </c>
      <c r="D3067" s="166">
        <v>340</v>
      </c>
      <c r="E3067" s="166" t="s">
        <v>1108</v>
      </c>
      <c r="F3067" s="166">
        <v>1648.3206367924527</v>
      </c>
    </row>
    <row r="3068" spans="1:6">
      <c r="A3068" s="403">
        <v>6111</v>
      </c>
      <c r="B3068" s="403">
        <v>7</v>
      </c>
      <c r="C3068" s="166">
        <v>680</v>
      </c>
      <c r="D3068" s="166">
        <v>340</v>
      </c>
      <c r="E3068" s="166" t="s">
        <v>1108</v>
      </c>
      <c r="F3068" s="166">
        <v>1648.3206367924527</v>
      </c>
    </row>
    <row r="3069" spans="1:6">
      <c r="A3069" s="403">
        <v>6112</v>
      </c>
      <c r="B3069" s="403">
        <v>7</v>
      </c>
      <c r="C3069" s="166">
        <v>680</v>
      </c>
      <c r="D3069" s="166">
        <v>340</v>
      </c>
      <c r="E3069" s="166" t="s">
        <v>1108</v>
      </c>
      <c r="F3069" s="166">
        <v>1648.3206367924527</v>
      </c>
    </row>
    <row r="3070" spans="1:6">
      <c r="A3070" s="403">
        <v>6121</v>
      </c>
      <c r="B3070" s="403">
        <v>7</v>
      </c>
      <c r="C3070" s="166">
        <v>680</v>
      </c>
      <c r="D3070" s="166">
        <v>340</v>
      </c>
      <c r="E3070" s="166" t="s">
        <v>1108</v>
      </c>
      <c r="F3070" s="166">
        <v>1648.3206367924527</v>
      </c>
    </row>
    <row r="3071" spans="1:6">
      <c r="A3071" s="403">
        <v>6122</v>
      </c>
      <c r="B3071" s="403">
        <v>7</v>
      </c>
      <c r="C3071" s="166">
        <v>680</v>
      </c>
      <c r="D3071" s="166">
        <v>340</v>
      </c>
      <c r="E3071" s="166" t="s">
        <v>1108</v>
      </c>
      <c r="F3071" s="166">
        <v>1648.3206367924527</v>
      </c>
    </row>
    <row r="3072" spans="1:6">
      <c r="A3072" s="403">
        <v>6123</v>
      </c>
      <c r="B3072" s="403">
        <v>7</v>
      </c>
      <c r="C3072" s="166">
        <v>680</v>
      </c>
      <c r="D3072" s="166">
        <v>340</v>
      </c>
      <c r="E3072" s="166" t="s">
        <v>1108</v>
      </c>
      <c r="F3072" s="166">
        <v>1648.3206367924527</v>
      </c>
    </row>
    <row r="3073" spans="1:6">
      <c r="A3073" s="403">
        <v>6124</v>
      </c>
      <c r="B3073" s="403">
        <v>7</v>
      </c>
      <c r="C3073" s="166">
        <v>680</v>
      </c>
      <c r="D3073" s="166">
        <v>340</v>
      </c>
      <c r="E3073" s="166" t="s">
        <v>1108</v>
      </c>
      <c r="F3073" s="166">
        <v>1648.3206367924527</v>
      </c>
    </row>
    <row r="3074" spans="1:6">
      <c r="A3074" s="403">
        <v>6125</v>
      </c>
      <c r="B3074" s="403">
        <v>7</v>
      </c>
      <c r="C3074" s="166">
        <v>680</v>
      </c>
      <c r="D3074" s="166">
        <v>340</v>
      </c>
      <c r="E3074" s="166" t="s">
        <v>1108</v>
      </c>
      <c r="F3074" s="166">
        <v>1648.3206367924527</v>
      </c>
    </row>
    <row r="3075" spans="1:6">
      <c r="A3075" s="403">
        <v>6126</v>
      </c>
      <c r="B3075" s="403">
        <v>7</v>
      </c>
      <c r="C3075" s="166">
        <v>680</v>
      </c>
      <c r="D3075" s="166">
        <v>340</v>
      </c>
      <c r="E3075" s="166" t="s">
        <v>1108</v>
      </c>
      <c r="F3075" s="166">
        <v>1648.3206367924527</v>
      </c>
    </row>
    <row r="3076" spans="1:6">
      <c r="A3076" s="403">
        <v>6147</v>
      </c>
      <c r="B3076" s="403">
        <v>7</v>
      </c>
      <c r="C3076" s="166">
        <v>680</v>
      </c>
      <c r="D3076" s="166">
        <v>340</v>
      </c>
      <c r="E3076" s="166" t="s">
        <v>1108</v>
      </c>
      <c r="F3076" s="166">
        <v>1648.3206367924527</v>
      </c>
    </row>
    <row r="3077" spans="1:6">
      <c r="A3077" s="403">
        <v>6148</v>
      </c>
      <c r="B3077" s="403">
        <v>7</v>
      </c>
      <c r="C3077" s="166">
        <v>680</v>
      </c>
      <c r="D3077" s="166">
        <v>340</v>
      </c>
      <c r="E3077" s="166" t="s">
        <v>1108</v>
      </c>
      <c r="F3077" s="166">
        <v>1648.3206367924527</v>
      </c>
    </row>
    <row r="3078" spans="1:6">
      <c r="A3078" s="403">
        <v>6149</v>
      </c>
      <c r="B3078" s="403">
        <v>7</v>
      </c>
      <c r="C3078" s="166">
        <v>680</v>
      </c>
      <c r="D3078" s="166">
        <v>340</v>
      </c>
      <c r="E3078" s="166" t="s">
        <v>1108</v>
      </c>
      <c r="F3078" s="166">
        <v>1648.3206367924527</v>
      </c>
    </row>
    <row r="3079" spans="1:6">
      <c r="A3079" s="403">
        <v>6150</v>
      </c>
      <c r="B3079" s="403">
        <v>7</v>
      </c>
      <c r="C3079" s="166">
        <v>680</v>
      </c>
      <c r="D3079" s="166">
        <v>340</v>
      </c>
      <c r="E3079" s="166" t="s">
        <v>1108</v>
      </c>
      <c r="F3079" s="166">
        <v>1648.3206367924527</v>
      </c>
    </row>
    <row r="3080" spans="1:6">
      <c r="A3080" s="403">
        <v>6151</v>
      </c>
      <c r="B3080" s="403">
        <v>7</v>
      </c>
      <c r="C3080" s="166">
        <v>680</v>
      </c>
      <c r="D3080" s="166">
        <v>340</v>
      </c>
      <c r="E3080" s="166" t="s">
        <v>1108</v>
      </c>
      <c r="F3080" s="166">
        <v>1648.3206367924527</v>
      </c>
    </row>
    <row r="3081" spans="1:6">
      <c r="A3081" s="403">
        <v>6152</v>
      </c>
      <c r="B3081" s="403">
        <v>7</v>
      </c>
      <c r="C3081" s="166">
        <v>680</v>
      </c>
      <c r="D3081" s="166">
        <v>340</v>
      </c>
      <c r="E3081" s="166" t="s">
        <v>1108</v>
      </c>
      <c r="F3081" s="166">
        <v>1648.3206367924527</v>
      </c>
    </row>
    <row r="3082" spans="1:6">
      <c r="A3082" s="403">
        <v>6153</v>
      </c>
      <c r="B3082" s="403">
        <v>7</v>
      </c>
      <c r="C3082" s="166">
        <v>680</v>
      </c>
      <c r="D3082" s="166">
        <v>340</v>
      </c>
      <c r="E3082" s="166" t="s">
        <v>1108</v>
      </c>
      <c r="F3082" s="166">
        <v>1648.3206367924527</v>
      </c>
    </row>
    <row r="3083" spans="1:6">
      <c r="A3083" s="403">
        <v>6154</v>
      </c>
      <c r="B3083" s="403">
        <v>7</v>
      </c>
      <c r="C3083" s="166">
        <v>680</v>
      </c>
      <c r="D3083" s="166">
        <v>340</v>
      </c>
      <c r="E3083" s="166" t="s">
        <v>1108</v>
      </c>
      <c r="F3083" s="166">
        <v>1648.3206367924527</v>
      </c>
    </row>
    <row r="3084" spans="1:6">
      <c r="A3084" s="403">
        <v>6155</v>
      </c>
      <c r="B3084" s="403">
        <v>7</v>
      </c>
      <c r="C3084" s="166">
        <v>680</v>
      </c>
      <c r="D3084" s="166">
        <v>340</v>
      </c>
      <c r="E3084" s="166" t="s">
        <v>1108</v>
      </c>
      <c r="F3084" s="166">
        <v>1648.3206367924527</v>
      </c>
    </row>
    <row r="3085" spans="1:6">
      <c r="A3085" s="403">
        <v>6156</v>
      </c>
      <c r="B3085" s="403">
        <v>7</v>
      </c>
      <c r="C3085" s="166">
        <v>680</v>
      </c>
      <c r="D3085" s="166">
        <v>340</v>
      </c>
      <c r="E3085" s="166" t="s">
        <v>1108</v>
      </c>
      <c r="F3085" s="166">
        <v>1648.3206367924527</v>
      </c>
    </row>
    <row r="3086" spans="1:6">
      <c r="A3086" s="403">
        <v>6157</v>
      </c>
      <c r="B3086" s="403">
        <v>7</v>
      </c>
      <c r="C3086" s="166">
        <v>680</v>
      </c>
      <c r="D3086" s="166">
        <v>340</v>
      </c>
      <c r="E3086" s="166" t="s">
        <v>1108</v>
      </c>
      <c r="F3086" s="166">
        <v>1648.3206367924527</v>
      </c>
    </row>
    <row r="3087" spans="1:6">
      <c r="A3087" s="403">
        <v>6158</v>
      </c>
      <c r="B3087" s="403">
        <v>7</v>
      </c>
      <c r="C3087" s="166">
        <v>680</v>
      </c>
      <c r="D3087" s="166">
        <v>340</v>
      </c>
      <c r="E3087" s="166" t="s">
        <v>1108</v>
      </c>
      <c r="F3087" s="166">
        <v>1648.3206367924527</v>
      </c>
    </row>
    <row r="3088" spans="1:6">
      <c r="A3088" s="403">
        <v>6159</v>
      </c>
      <c r="B3088" s="403">
        <v>7</v>
      </c>
      <c r="C3088" s="166">
        <v>680</v>
      </c>
      <c r="D3088" s="166">
        <v>340</v>
      </c>
      <c r="E3088" s="166" t="s">
        <v>1108</v>
      </c>
      <c r="F3088" s="166">
        <v>1648.3206367924527</v>
      </c>
    </row>
    <row r="3089" spans="1:6">
      <c r="A3089" s="403">
        <v>6160</v>
      </c>
      <c r="B3089" s="403">
        <v>7</v>
      </c>
      <c r="C3089" s="166">
        <v>680</v>
      </c>
      <c r="D3089" s="166">
        <v>340</v>
      </c>
      <c r="E3089" s="166" t="s">
        <v>1108</v>
      </c>
      <c r="F3089" s="166">
        <v>1648.3206367924527</v>
      </c>
    </row>
    <row r="3090" spans="1:6">
      <c r="A3090" s="403">
        <v>6161</v>
      </c>
      <c r="B3090" s="403">
        <v>7</v>
      </c>
      <c r="C3090" s="166">
        <v>680</v>
      </c>
      <c r="D3090" s="166">
        <v>340</v>
      </c>
      <c r="E3090" s="166" t="s">
        <v>1108</v>
      </c>
      <c r="F3090" s="166">
        <v>1648.3206367924527</v>
      </c>
    </row>
    <row r="3091" spans="1:6">
      <c r="A3091" s="403">
        <v>6162</v>
      </c>
      <c r="B3091" s="403">
        <v>7</v>
      </c>
      <c r="C3091" s="166">
        <v>680</v>
      </c>
      <c r="D3091" s="166">
        <v>340</v>
      </c>
      <c r="E3091" s="166" t="s">
        <v>1108</v>
      </c>
      <c r="F3091" s="166">
        <v>1648.3206367924527</v>
      </c>
    </row>
    <row r="3092" spans="1:6">
      <c r="A3092" s="403">
        <v>6163</v>
      </c>
      <c r="B3092" s="403">
        <v>7</v>
      </c>
      <c r="C3092" s="166">
        <v>680</v>
      </c>
      <c r="D3092" s="166">
        <v>340</v>
      </c>
      <c r="E3092" s="166" t="s">
        <v>1108</v>
      </c>
      <c r="F3092" s="166">
        <v>1648.3206367924527</v>
      </c>
    </row>
    <row r="3093" spans="1:6">
      <c r="A3093" s="403">
        <v>6164</v>
      </c>
      <c r="B3093" s="403">
        <v>7</v>
      </c>
      <c r="C3093" s="166">
        <v>680</v>
      </c>
      <c r="D3093" s="166">
        <v>340</v>
      </c>
      <c r="E3093" s="166" t="s">
        <v>1108</v>
      </c>
      <c r="F3093" s="166">
        <v>1648.3206367924527</v>
      </c>
    </row>
    <row r="3094" spans="1:6">
      <c r="A3094" s="403">
        <v>6165</v>
      </c>
      <c r="B3094" s="403">
        <v>7</v>
      </c>
      <c r="C3094" s="166">
        <v>680</v>
      </c>
      <c r="D3094" s="166">
        <v>340</v>
      </c>
      <c r="E3094" s="166" t="s">
        <v>1108</v>
      </c>
      <c r="F3094" s="166">
        <v>1648.3206367924527</v>
      </c>
    </row>
    <row r="3095" spans="1:6">
      <c r="A3095" s="403">
        <v>6166</v>
      </c>
      <c r="B3095" s="403">
        <v>7</v>
      </c>
      <c r="C3095" s="166">
        <v>680</v>
      </c>
      <c r="D3095" s="166">
        <v>340</v>
      </c>
      <c r="E3095" s="166" t="s">
        <v>1108</v>
      </c>
      <c r="F3095" s="166">
        <v>1648.3206367924527</v>
      </c>
    </row>
    <row r="3096" spans="1:6">
      <c r="A3096" s="403">
        <v>6167</v>
      </c>
      <c r="B3096" s="403">
        <v>7</v>
      </c>
      <c r="C3096" s="166">
        <v>680</v>
      </c>
      <c r="D3096" s="166">
        <v>340</v>
      </c>
      <c r="E3096" s="166" t="s">
        <v>1108</v>
      </c>
      <c r="F3096" s="166">
        <v>1648.3206367924527</v>
      </c>
    </row>
    <row r="3097" spans="1:6">
      <c r="A3097" s="403">
        <v>6168</v>
      </c>
      <c r="B3097" s="403">
        <v>7</v>
      </c>
      <c r="C3097" s="166">
        <v>680</v>
      </c>
      <c r="D3097" s="166">
        <v>340</v>
      </c>
      <c r="E3097" s="166" t="s">
        <v>1108</v>
      </c>
      <c r="F3097" s="166">
        <v>1648.3206367924527</v>
      </c>
    </row>
    <row r="3098" spans="1:6">
      <c r="A3098" s="403">
        <v>6169</v>
      </c>
      <c r="B3098" s="403">
        <v>7</v>
      </c>
      <c r="C3098" s="166">
        <v>680</v>
      </c>
      <c r="D3098" s="166">
        <v>340</v>
      </c>
      <c r="E3098" s="166" t="s">
        <v>1108</v>
      </c>
      <c r="F3098" s="166">
        <v>1648.3206367924527</v>
      </c>
    </row>
    <row r="3099" spans="1:6">
      <c r="A3099" s="403">
        <v>6170</v>
      </c>
      <c r="B3099" s="403">
        <v>7</v>
      </c>
      <c r="C3099" s="166">
        <v>680</v>
      </c>
      <c r="D3099" s="166">
        <v>340</v>
      </c>
      <c r="E3099" s="166" t="s">
        <v>1108</v>
      </c>
      <c r="F3099" s="166">
        <v>1648.3206367924527</v>
      </c>
    </row>
    <row r="3100" spans="1:6">
      <c r="A3100" s="403">
        <v>6171</v>
      </c>
      <c r="B3100" s="403">
        <v>7</v>
      </c>
      <c r="C3100" s="166">
        <v>680</v>
      </c>
      <c r="D3100" s="166">
        <v>340</v>
      </c>
      <c r="E3100" s="166" t="s">
        <v>1108</v>
      </c>
      <c r="F3100" s="166">
        <v>1648.3206367924527</v>
      </c>
    </row>
    <row r="3101" spans="1:6">
      <c r="A3101" s="403">
        <v>6172</v>
      </c>
      <c r="B3101" s="403">
        <v>7</v>
      </c>
      <c r="C3101" s="166">
        <v>680</v>
      </c>
      <c r="D3101" s="166">
        <v>340</v>
      </c>
      <c r="E3101" s="166" t="s">
        <v>1108</v>
      </c>
      <c r="F3101" s="166">
        <v>1648.3206367924527</v>
      </c>
    </row>
    <row r="3102" spans="1:6">
      <c r="A3102" s="403">
        <v>6173</v>
      </c>
      <c r="B3102" s="403">
        <v>7</v>
      </c>
      <c r="C3102" s="166">
        <v>680</v>
      </c>
      <c r="D3102" s="166">
        <v>340</v>
      </c>
      <c r="E3102" s="166" t="s">
        <v>1108</v>
      </c>
      <c r="F3102" s="166">
        <v>1648.3206367924527</v>
      </c>
    </row>
    <row r="3103" spans="1:6">
      <c r="A3103" s="403">
        <v>6174</v>
      </c>
      <c r="B3103" s="403">
        <v>7</v>
      </c>
      <c r="C3103" s="166">
        <v>680</v>
      </c>
      <c r="D3103" s="166">
        <v>340</v>
      </c>
      <c r="E3103" s="166" t="s">
        <v>1108</v>
      </c>
      <c r="F3103" s="166">
        <v>1648.3206367924527</v>
      </c>
    </row>
    <row r="3104" spans="1:6">
      <c r="A3104" s="403">
        <v>6175</v>
      </c>
      <c r="B3104" s="403">
        <v>7</v>
      </c>
      <c r="C3104" s="166">
        <v>680</v>
      </c>
      <c r="D3104" s="166">
        <v>340</v>
      </c>
      <c r="E3104" s="166" t="s">
        <v>1108</v>
      </c>
      <c r="F3104" s="166">
        <v>1648.3206367924527</v>
      </c>
    </row>
    <row r="3105" spans="1:6">
      <c r="A3105" s="403">
        <v>6176</v>
      </c>
      <c r="B3105" s="403">
        <v>7</v>
      </c>
      <c r="C3105" s="166">
        <v>680</v>
      </c>
      <c r="D3105" s="166">
        <v>340</v>
      </c>
      <c r="E3105" s="166" t="s">
        <v>1108</v>
      </c>
      <c r="F3105" s="166">
        <v>1648.3206367924527</v>
      </c>
    </row>
    <row r="3106" spans="1:6">
      <c r="A3106" s="403">
        <v>6207</v>
      </c>
      <c r="B3106" s="403">
        <v>7</v>
      </c>
      <c r="C3106" s="166">
        <v>680</v>
      </c>
      <c r="D3106" s="166">
        <v>340</v>
      </c>
      <c r="E3106" s="166" t="s">
        <v>1108</v>
      </c>
      <c r="F3106" s="166">
        <v>1648.3206367924527</v>
      </c>
    </row>
    <row r="3107" spans="1:6">
      <c r="A3107" s="403">
        <v>6208</v>
      </c>
      <c r="B3107" s="403">
        <v>7</v>
      </c>
      <c r="C3107" s="166">
        <v>680</v>
      </c>
      <c r="D3107" s="166">
        <v>340</v>
      </c>
      <c r="E3107" s="166" t="s">
        <v>1108</v>
      </c>
      <c r="F3107" s="166">
        <v>1648.3206367924527</v>
      </c>
    </row>
    <row r="3108" spans="1:6">
      <c r="A3108" s="403">
        <v>6210</v>
      </c>
      <c r="B3108" s="403">
        <v>7</v>
      </c>
      <c r="C3108" s="166">
        <v>680</v>
      </c>
      <c r="D3108" s="166">
        <v>340</v>
      </c>
      <c r="E3108" s="166" t="s">
        <v>1108</v>
      </c>
      <c r="F3108" s="166">
        <v>1648.3206367924527</v>
      </c>
    </row>
    <row r="3109" spans="1:6">
      <c r="A3109" s="403">
        <v>6213</v>
      </c>
      <c r="B3109" s="403">
        <v>7</v>
      </c>
      <c r="C3109" s="166">
        <v>680</v>
      </c>
      <c r="D3109" s="166">
        <v>340</v>
      </c>
      <c r="E3109" s="166" t="s">
        <v>1108</v>
      </c>
      <c r="F3109" s="166">
        <v>1648.3206367924527</v>
      </c>
    </row>
    <row r="3110" spans="1:6">
      <c r="A3110" s="403">
        <v>6214</v>
      </c>
      <c r="B3110" s="403">
        <v>7</v>
      </c>
      <c r="C3110" s="166">
        <v>680</v>
      </c>
      <c r="D3110" s="166">
        <v>340</v>
      </c>
      <c r="E3110" s="166" t="s">
        <v>1108</v>
      </c>
      <c r="F3110" s="166">
        <v>1648.3206367924527</v>
      </c>
    </row>
    <row r="3111" spans="1:6">
      <c r="A3111" s="403">
        <v>6215</v>
      </c>
      <c r="B3111" s="403">
        <v>7</v>
      </c>
      <c r="C3111" s="166">
        <v>680</v>
      </c>
      <c r="D3111" s="166">
        <v>340</v>
      </c>
      <c r="E3111" s="166" t="s">
        <v>1108</v>
      </c>
      <c r="F3111" s="166">
        <v>1648.3206367924527</v>
      </c>
    </row>
    <row r="3112" spans="1:6">
      <c r="A3112" s="403">
        <v>6218</v>
      </c>
      <c r="B3112" s="403">
        <v>7</v>
      </c>
      <c r="C3112" s="166">
        <v>680</v>
      </c>
      <c r="D3112" s="166">
        <v>340</v>
      </c>
      <c r="E3112" s="166" t="s">
        <v>1108</v>
      </c>
      <c r="F3112" s="166">
        <v>1648.3206367924527</v>
      </c>
    </row>
    <row r="3113" spans="1:6">
      <c r="A3113" s="403">
        <v>6220</v>
      </c>
      <c r="B3113" s="403">
        <v>7</v>
      </c>
      <c r="C3113" s="166">
        <v>680</v>
      </c>
      <c r="D3113" s="166">
        <v>340</v>
      </c>
      <c r="E3113" s="166" t="s">
        <v>1108</v>
      </c>
      <c r="F3113" s="166">
        <v>1648.3206367924527</v>
      </c>
    </row>
    <row r="3114" spans="1:6">
      <c r="A3114" s="403">
        <v>6221</v>
      </c>
      <c r="B3114" s="403">
        <v>7</v>
      </c>
      <c r="C3114" s="166">
        <v>680</v>
      </c>
      <c r="D3114" s="166">
        <v>340</v>
      </c>
      <c r="E3114" s="166" t="s">
        <v>1108</v>
      </c>
      <c r="F3114" s="166">
        <v>1648.3206367924527</v>
      </c>
    </row>
    <row r="3115" spans="1:6">
      <c r="A3115" s="403">
        <v>6223</v>
      </c>
      <c r="B3115" s="403">
        <v>7</v>
      </c>
      <c r="C3115" s="166">
        <v>680</v>
      </c>
      <c r="D3115" s="166">
        <v>340</v>
      </c>
      <c r="E3115" s="166" t="s">
        <v>1108</v>
      </c>
      <c r="F3115" s="166">
        <v>1648.3206367924527</v>
      </c>
    </row>
    <row r="3116" spans="1:6">
      <c r="A3116" s="403">
        <v>6224</v>
      </c>
      <c r="B3116" s="403">
        <v>7</v>
      </c>
      <c r="C3116" s="166">
        <v>680</v>
      </c>
      <c r="D3116" s="166">
        <v>340</v>
      </c>
      <c r="E3116" s="166" t="s">
        <v>1108</v>
      </c>
      <c r="F3116" s="166">
        <v>1648.3206367924527</v>
      </c>
    </row>
    <row r="3117" spans="1:6">
      <c r="A3117" s="403">
        <v>6225</v>
      </c>
      <c r="B3117" s="403">
        <v>7</v>
      </c>
      <c r="C3117" s="166">
        <v>680</v>
      </c>
      <c r="D3117" s="166">
        <v>340</v>
      </c>
      <c r="E3117" s="166" t="s">
        <v>1108</v>
      </c>
      <c r="F3117" s="166">
        <v>1648.3206367924527</v>
      </c>
    </row>
    <row r="3118" spans="1:6">
      <c r="A3118" s="403">
        <v>6226</v>
      </c>
      <c r="B3118" s="403">
        <v>9</v>
      </c>
      <c r="C3118" s="166">
        <v>1048</v>
      </c>
      <c r="D3118" s="166">
        <v>274</v>
      </c>
      <c r="E3118" s="166" t="s">
        <v>1108</v>
      </c>
      <c r="F3118" s="166">
        <v>1094.7502314814797</v>
      </c>
    </row>
    <row r="3119" spans="1:6">
      <c r="A3119" s="403">
        <v>6227</v>
      </c>
      <c r="B3119" s="403">
        <v>9</v>
      </c>
      <c r="C3119" s="166">
        <v>1048</v>
      </c>
      <c r="D3119" s="166">
        <v>274</v>
      </c>
      <c r="E3119" s="166" t="s">
        <v>1108</v>
      </c>
      <c r="F3119" s="166">
        <v>1094.7502314814797</v>
      </c>
    </row>
    <row r="3120" spans="1:6">
      <c r="A3120" s="403">
        <v>6228</v>
      </c>
      <c r="B3120" s="403">
        <v>9</v>
      </c>
      <c r="C3120" s="166">
        <v>1048</v>
      </c>
      <c r="D3120" s="166">
        <v>274</v>
      </c>
      <c r="E3120" s="166" t="s">
        <v>1108</v>
      </c>
      <c r="F3120" s="166">
        <v>1094.7502314814797</v>
      </c>
    </row>
    <row r="3121" spans="1:6">
      <c r="A3121" s="403">
        <v>6229</v>
      </c>
      <c r="B3121" s="403">
        <v>9</v>
      </c>
      <c r="C3121" s="166">
        <v>1048</v>
      </c>
      <c r="D3121" s="166">
        <v>274</v>
      </c>
      <c r="E3121" s="166" t="s">
        <v>1108</v>
      </c>
      <c r="F3121" s="166">
        <v>1094.7502314814797</v>
      </c>
    </row>
    <row r="3122" spans="1:6">
      <c r="A3122" s="403">
        <v>6230</v>
      </c>
      <c r="B3122" s="403">
        <v>9</v>
      </c>
      <c r="C3122" s="166">
        <v>1048</v>
      </c>
      <c r="D3122" s="166">
        <v>274</v>
      </c>
      <c r="E3122" s="166" t="s">
        <v>1108</v>
      </c>
      <c r="F3122" s="166">
        <v>1094.7502314814797</v>
      </c>
    </row>
    <row r="3123" spans="1:6">
      <c r="A3123" s="403">
        <v>6231</v>
      </c>
      <c r="B3123" s="403">
        <v>9</v>
      </c>
      <c r="C3123" s="166">
        <v>1048</v>
      </c>
      <c r="D3123" s="166">
        <v>274</v>
      </c>
      <c r="E3123" s="166" t="s">
        <v>1108</v>
      </c>
      <c r="F3123" s="166">
        <v>1094.7502314814797</v>
      </c>
    </row>
    <row r="3124" spans="1:6">
      <c r="A3124" s="403">
        <v>6232</v>
      </c>
      <c r="B3124" s="403">
        <v>9</v>
      </c>
      <c r="C3124" s="166">
        <v>1048</v>
      </c>
      <c r="D3124" s="166">
        <v>274</v>
      </c>
      <c r="E3124" s="166" t="s">
        <v>1108</v>
      </c>
      <c r="F3124" s="166">
        <v>1094.7502314814797</v>
      </c>
    </row>
    <row r="3125" spans="1:6">
      <c r="A3125" s="403">
        <v>6233</v>
      </c>
      <c r="B3125" s="403">
        <v>9</v>
      </c>
      <c r="C3125" s="166">
        <v>1048</v>
      </c>
      <c r="D3125" s="166">
        <v>274</v>
      </c>
      <c r="E3125" s="166" t="s">
        <v>1108</v>
      </c>
      <c r="F3125" s="166">
        <v>1094.7502314814797</v>
      </c>
    </row>
    <row r="3126" spans="1:6">
      <c r="A3126" s="403">
        <v>6236</v>
      </c>
      <c r="B3126" s="403">
        <v>9</v>
      </c>
      <c r="C3126" s="166">
        <v>1048</v>
      </c>
      <c r="D3126" s="166">
        <v>274</v>
      </c>
      <c r="E3126" s="166" t="s">
        <v>1108</v>
      </c>
      <c r="F3126" s="166">
        <v>1094.7502314814797</v>
      </c>
    </row>
    <row r="3127" spans="1:6">
      <c r="A3127" s="403">
        <v>6237</v>
      </c>
      <c r="B3127" s="403">
        <v>9</v>
      </c>
      <c r="C3127" s="166">
        <v>1048</v>
      </c>
      <c r="D3127" s="166">
        <v>274</v>
      </c>
      <c r="E3127" s="166" t="s">
        <v>1108</v>
      </c>
      <c r="F3127" s="166">
        <v>1094.7502314814797</v>
      </c>
    </row>
    <row r="3128" spans="1:6">
      <c r="A3128" s="403">
        <v>6239</v>
      </c>
      <c r="B3128" s="403">
        <v>9</v>
      </c>
      <c r="C3128" s="166">
        <v>1048</v>
      </c>
      <c r="D3128" s="166">
        <v>274</v>
      </c>
      <c r="E3128" s="166" t="s">
        <v>1108</v>
      </c>
      <c r="F3128" s="166">
        <v>1094.7502314814797</v>
      </c>
    </row>
    <row r="3129" spans="1:6">
      <c r="A3129" s="403">
        <v>6240</v>
      </c>
      <c r="B3129" s="403">
        <v>9</v>
      </c>
      <c r="C3129" s="166">
        <v>1048</v>
      </c>
      <c r="D3129" s="166">
        <v>274</v>
      </c>
      <c r="E3129" s="166" t="s">
        <v>1108</v>
      </c>
      <c r="F3129" s="166">
        <v>1094.7502314814797</v>
      </c>
    </row>
    <row r="3130" spans="1:6">
      <c r="A3130" s="403">
        <v>6243</v>
      </c>
      <c r="B3130" s="403">
        <v>9</v>
      </c>
      <c r="C3130" s="166">
        <v>1048</v>
      </c>
      <c r="D3130" s="166">
        <v>274</v>
      </c>
      <c r="E3130" s="166" t="s">
        <v>1108</v>
      </c>
      <c r="F3130" s="166">
        <v>1094.7502314814797</v>
      </c>
    </row>
    <row r="3131" spans="1:6">
      <c r="A3131" s="403">
        <v>6244</v>
      </c>
      <c r="B3131" s="403">
        <v>9</v>
      </c>
      <c r="C3131" s="166">
        <v>1048</v>
      </c>
      <c r="D3131" s="166">
        <v>274</v>
      </c>
      <c r="E3131" s="166" t="s">
        <v>1108</v>
      </c>
      <c r="F3131" s="166">
        <v>1094.7502314814797</v>
      </c>
    </row>
    <row r="3132" spans="1:6">
      <c r="A3132" s="403">
        <v>6251</v>
      </c>
      <c r="B3132" s="403">
        <v>9</v>
      </c>
      <c r="C3132" s="166">
        <v>1048</v>
      </c>
      <c r="D3132" s="166">
        <v>274</v>
      </c>
      <c r="E3132" s="166" t="s">
        <v>1108</v>
      </c>
      <c r="F3132" s="166">
        <v>1094.7502314814797</v>
      </c>
    </row>
    <row r="3133" spans="1:6">
      <c r="A3133" s="403">
        <v>6252</v>
      </c>
      <c r="B3133" s="403">
        <v>9</v>
      </c>
      <c r="C3133" s="166">
        <v>1048</v>
      </c>
      <c r="D3133" s="166">
        <v>274</v>
      </c>
      <c r="E3133" s="166" t="s">
        <v>1108</v>
      </c>
      <c r="F3133" s="166">
        <v>1094.7502314814797</v>
      </c>
    </row>
    <row r="3134" spans="1:6">
      <c r="A3134" s="403">
        <v>6253</v>
      </c>
      <c r="B3134" s="403">
        <v>9</v>
      </c>
      <c r="C3134" s="166">
        <v>1048</v>
      </c>
      <c r="D3134" s="166">
        <v>274</v>
      </c>
      <c r="E3134" s="166" t="s">
        <v>1108</v>
      </c>
      <c r="F3134" s="166">
        <v>1094.7502314814797</v>
      </c>
    </row>
    <row r="3135" spans="1:6">
      <c r="A3135" s="403">
        <v>6254</v>
      </c>
      <c r="B3135" s="403">
        <v>9</v>
      </c>
      <c r="C3135" s="166">
        <v>1048</v>
      </c>
      <c r="D3135" s="166">
        <v>274</v>
      </c>
      <c r="E3135" s="166" t="s">
        <v>1108</v>
      </c>
      <c r="F3135" s="166">
        <v>1094.7502314814797</v>
      </c>
    </row>
    <row r="3136" spans="1:6">
      <c r="A3136" s="403">
        <v>6255</v>
      </c>
      <c r="B3136" s="403">
        <v>9</v>
      </c>
      <c r="C3136" s="166">
        <v>1048</v>
      </c>
      <c r="D3136" s="166">
        <v>274</v>
      </c>
      <c r="E3136" s="166" t="s">
        <v>1108</v>
      </c>
      <c r="F3136" s="166">
        <v>1094.7502314814797</v>
      </c>
    </row>
    <row r="3137" spans="1:6">
      <c r="A3137" s="403">
        <v>6256</v>
      </c>
      <c r="B3137" s="403">
        <v>9</v>
      </c>
      <c r="C3137" s="166">
        <v>1048</v>
      </c>
      <c r="D3137" s="166">
        <v>274</v>
      </c>
      <c r="E3137" s="166" t="s">
        <v>1108</v>
      </c>
      <c r="F3137" s="166">
        <v>1094.7502314814797</v>
      </c>
    </row>
    <row r="3138" spans="1:6">
      <c r="A3138" s="403">
        <v>6258</v>
      </c>
      <c r="B3138" s="403">
        <v>9</v>
      </c>
      <c r="C3138" s="166">
        <v>1048</v>
      </c>
      <c r="D3138" s="166">
        <v>274</v>
      </c>
      <c r="E3138" s="166" t="s">
        <v>1108</v>
      </c>
      <c r="F3138" s="166">
        <v>1094.7502314814797</v>
      </c>
    </row>
    <row r="3139" spans="1:6">
      <c r="A3139" s="403">
        <v>6260</v>
      </c>
      <c r="B3139" s="403">
        <v>9</v>
      </c>
      <c r="C3139" s="166">
        <v>1048</v>
      </c>
      <c r="D3139" s="166">
        <v>274</v>
      </c>
      <c r="E3139" s="166" t="s">
        <v>1108</v>
      </c>
      <c r="F3139" s="166">
        <v>1094.7502314814797</v>
      </c>
    </row>
    <row r="3140" spans="1:6">
      <c r="A3140" s="403">
        <v>6262</v>
      </c>
      <c r="B3140" s="403">
        <v>9</v>
      </c>
      <c r="C3140" s="166">
        <v>1048</v>
      </c>
      <c r="D3140" s="166">
        <v>274</v>
      </c>
      <c r="E3140" s="166" t="s">
        <v>1108</v>
      </c>
      <c r="F3140" s="166">
        <v>1094.7502314814797</v>
      </c>
    </row>
    <row r="3141" spans="1:6">
      <c r="A3141" s="403">
        <v>6271</v>
      </c>
      <c r="B3141" s="403">
        <v>9</v>
      </c>
      <c r="C3141" s="166">
        <v>1048</v>
      </c>
      <c r="D3141" s="166">
        <v>274</v>
      </c>
      <c r="E3141" s="166" t="s">
        <v>1108</v>
      </c>
      <c r="F3141" s="166">
        <v>1094.7502314814797</v>
      </c>
    </row>
    <row r="3142" spans="1:6">
      <c r="A3142" s="403">
        <v>6275</v>
      </c>
      <c r="B3142" s="403">
        <v>9</v>
      </c>
      <c r="C3142" s="166">
        <v>1048</v>
      </c>
      <c r="D3142" s="166">
        <v>274</v>
      </c>
      <c r="E3142" s="166" t="s">
        <v>1108</v>
      </c>
      <c r="F3142" s="166">
        <v>1094.7502314814797</v>
      </c>
    </row>
    <row r="3143" spans="1:6">
      <c r="A3143" s="403">
        <v>6280</v>
      </c>
      <c r="B3143" s="403">
        <v>9</v>
      </c>
      <c r="C3143" s="166">
        <v>1048</v>
      </c>
      <c r="D3143" s="166">
        <v>274</v>
      </c>
      <c r="E3143" s="166" t="s">
        <v>1108</v>
      </c>
      <c r="F3143" s="166">
        <v>1094.7502314814797</v>
      </c>
    </row>
    <row r="3144" spans="1:6">
      <c r="A3144" s="403">
        <v>6281</v>
      </c>
      <c r="B3144" s="403">
        <v>9</v>
      </c>
      <c r="C3144" s="166">
        <v>1048</v>
      </c>
      <c r="D3144" s="166">
        <v>274</v>
      </c>
      <c r="E3144" s="166" t="s">
        <v>1108</v>
      </c>
      <c r="F3144" s="166">
        <v>1094.7502314814797</v>
      </c>
    </row>
    <row r="3145" spans="1:6">
      <c r="A3145" s="403">
        <v>6282</v>
      </c>
      <c r="B3145" s="403">
        <v>9</v>
      </c>
      <c r="C3145" s="166">
        <v>1048</v>
      </c>
      <c r="D3145" s="166">
        <v>274</v>
      </c>
      <c r="E3145" s="166" t="s">
        <v>1108</v>
      </c>
      <c r="F3145" s="166">
        <v>1094.7502314814797</v>
      </c>
    </row>
    <row r="3146" spans="1:6">
      <c r="A3146" s="403">
        <v>6284</v>
      </c>
      <c r="B3146" s="403">
        <v>9</v>
      </c>
      <c r="C3146" s="166">
        <v>1048</v>
      </c>
      <c r="D3146" s="166">
        <v>274</v>
      </c>
      <c r="E3146" s="166" t="s">
        <v>1108</v>
      </c>
      <c r="F3146" s="166">
        <v>1094.7502314814797</v>
      </c>
    </row>
    <row r="3147" spans="1:6">
      <c r="A3147" s="403">
        <v>6285</v>
      </c>
      <c r="B3147" s="403">
        <v>9</v>
      </c>
      <c r="C3147" s="166">
        <v>1048</v>
      </c>
      <c r="D3147" s="166">
        <v>274</v>
      </c>
      <c r="E3147" s="166" t="s">
        <v>1108</v>
      </c>
      <c r="F3147" s="166">
        <v>1094.7502314814797</v>
      </c>
    </row>
    <row r="3148" spans="1:6">
      <c r="A3148" s="403">
        <v>6286</v>
      </c>
      <c r="B3148" s="403">
        <v>9</v>
      </c>
      <c r="C3148" s="166">
        <v>1048</v>
      </c>
      <c r="D3148" s="166">
        <v>274</v>
      </c>
      <c r="E3148" s="166" t="s">
        <v>1108</v>
      </c>
      <c r="F3148" s="166">
        <v>1094.7502314814797</v>
      </c>
    </row>
    <row r="3149" spans="1:6">
      <c r="A3149" s="403">
        <v>6288</v>
      </c>
      <c r="B3149" s="403">
        <v>9</v>
      </c>
      <c r="C3149" s="166">
        <v>1048</v>
      </c>
      <c r="D3149" s="166">
        <v>274</v>
      </c>
      <c r="E3149" s="166" t="s">
        <v>1108</v>
      </c>
      <c r="F3149" s="166">
        <v>1094.7502314814797</v>
      </c>
    </row>
    <row r="3150" spans="1:6">
      <c r="A3150" s="403">
        <v>6290</v>
      </c>
      <c r="B3150" s="403">
        <v>9</v>
      </c>
      <c r="C3150" s="166">
        <v>1048</v>
      </c>
      <c r="D3150" s="166">
        <v>274</v>
      </c>
      <c r="E3150" s="166" t="s">
        <v>1108</v>
      </c>
      <c r="F3150" s="166">
        <v>1094.7502314814797</v>
      </c>
    </row>
    <row r="3151" spans="1:6">
      <c r="A3151" s="403">
        <v>6302</v>
      </c>
      <c r="B3151" s="403">
        <v>7</v>
      </c>
      <c r="C3151" s="166">
        <v>680</v>
      </c>
      <c r="D3151" s="166">
        <v>340</v>
      </c>
      <c r="E3151" s="166" t="s">
        <v>1108</v>
      </c>
      <c r="F3151" s="166">
        <v>1648.3206367924527</v>
      </c>
    </row>
    <row r="3152" spans="1:6">
      <c r="A3152" s="403">
        <v>6304</v>
      </c>
      <c r="B3152" s="403">
        <v>7</v>
      </c>
      <c r="C3152" s="166">
        <v>680</v>
      </c>
      <c r="D3152" s="166">
        <v>340</v>
      </c>
      <c r="E3152" s="166" t="s">
        <v>1108</v>
      </c>
      <c r="F3152" s="166">
        <v>1648.3206367924527</v>
      </c>
    </row>
    <row r="3153" spans="1:6">
      <c r="A3153" s="403">
        <v>6306</v>
      </c>
      <c r="B3153" s="403">
        <v>7</v>
      </c>
      <c r="C3153" s="166">
        <v>680</v>
      </c>
      <c r="D3153" s="166">
        <v>340</v>
      </c>
      <c r="E3153" s="166" t="s">
        <v>1108</v>
      </c>
      <c r="F3153" s="166">
        <v>1648.3206367924527</v>
      </c>
    </row>
    <row r="3154" spans="1:6">
      <c r="A3154" s="403">
        <v>6308</v>
      </c>
      <c r="B3154" s="403">
        <v>7</v>
      </c>
      <c r="C3154" s="166">
        <v>680</v>
      </c>
      <c r="D3154" s="166">
        <v>340</v>
      </c>
      <c r="E3154" s="166" t="s">
        <v>1108</v>
      </c>
      <c r="F3154" s="166">
        <v>1648.3206367924527</v>
      </c>
    </row>
    <row r="3155" spans="1:6">
      <c r="A3155" s="403">
        <v>6309</v>
      </c>
      <c r="B3155" s="403">
        <v>8</v>
      </c>
      <c r="C3155" s="166">
        <v>1249</v>
      </c>
      <c r="D3155" s="166">
        <v>185</v>
      </c>
      <c r="E3155" s="166" t="s">
        <v>1108</v>
      </c>
      <c r="F3155" s="166">
        <v>1062.2944658944652</v>
      </c>
    </row>
    <row r="3156" spans="1:6">
      <c r="A3156" s="403">
        <v>6311</v>
      </c>
      <c r="B3156" s="403">
        <v>8</v>
      </c>
      <c r="C3156" s="166">
        <v>1249</v>
      </c>
      <c r="D3156" s="166">
        <v>185</v>
      </c>
      <c r="E3156" s="166" t="s">
        <v>1108</v>
      </c>
      <c r="F3156" s="166">
        <v>1062.2944658944652</v>
      </c>
    </row>
    <row r="3157" spans="1:6">
      <c r="A3157" s="403">
        <v>6312</v>
      </c>
      <c r="B3157" s="403">
        <v>8</v>
      </c>
      <c r="C3157" s="166">
        <v>1249</v>
      </c>
      <c r="D3157" s="166">
        <v>185</v>
      </c>
      <c r="E3157" s="166" t="s">
        <v>1108</v>
      </c>
      <c r="F3157" s="166">
        <v>1062.2944658944652</v>
      </c>
    </row>
    <row r="3158" spans="1:6">
      <c r="A3158" s="403">
        <v>6313</v>
      </c>
      <c r="B3158" s="403">
        <v>8</v>
      </c>
      <c r="C3158" s="166">
        <v>1249</v>
      </c>
      <c r="D3158" s="166">
        <v>185</v>
      </c>
      <c r="E3158" s="166" t="s">
        <v>1108</v>
      </c>
      <c r="F3158" s="166">
        <v>1062.2944658944652</v>
      </c>
    </row>
    <row r="3159" spans="1:6">
      <c r="A3159" s="403">
        <v>6315</v>
      </c>
      <c r="B3159" s="403">
        <v>8</v>
      </c>
      <c r="C3159" s="166">
        <v>1249</v>
      </c>
      <c r="D3159" s="166">
        <v>185</v>
      </c>
      <c r="E3159" s="166" t="s">
        <v>1108</v>
      </c>
      <c r="F3159" s="166">
        <v>1062.2944658944652</v>
      </c>
    </row>
    <row r="3160" spans="1:6">
      <c r="A3160" s="403">
        <v>6316</v>
      </c>
      <c r="B3160" s="403">
        <v>8</v>
      </c>
      <c r="C3160" s="166">
        <v>1249</v>
      </c>
      <c r="D3160" s="166">
        <v>185</v>
      </c>
      <c r="E3160" s="166" t="s">
        <v>1108</v>
      </c>
      <c r="F3160" s="166">
        <v>1062.2944658944652</v>
      </c>
    </row>
    <row r="3161" spans="1:6">
      <c r="A3161" s="403">
        <v>6317</v>
      </c>
      <c r="B3161" s="403">
        <v>8</v>
      </c>
      <c r="C3161" s="166">
        <v>1249</v>
      </c>
      <c r="D3161" s="166">
        <v>185</v>
      </c>
      <c r="E3161" s="166" t="s">
        <v>1108</v>
      </c>
      <c r="F3161" s="166">
        <v>1062.2944658944652</v>
      </c>
    </row>
    <row r="3162" spans="1:6">
      <c r="A3162" s="403">
        <v>6318</v>
      </c>
      <c r="B3162" s="403">
        <v>8</v>
      </c>
      <c r="C3162" s="166">
        <v>1249</v>
      </c>
      <c r="D3162" s="166">
        <v>185</v>
      </c>
      <c r="E3162" s="166" t="s">
        <v>1108</v>
      </c>
      <c r="F3162" s="166">
        <v>1062.2944658944652</v>
      </c>
    </row>
    <row r="3163" spans="1:6">
      <c r="A3163" s="403">
        <v>6320</v>
      </c>
      <c r="B3163" s="403">
        <v>8</v>
      </c>
      <c r="C3163" s="166">
        <v>1249</v>
      </c>
      <c r="D3163" s="166">
        <v>185</v>
      </c>
      <c r="E3163" s="166" t="s">
        <v>1108</v>
      </c>
      <c r="F3163" s="166">
        <v>1062.2944658944652</v>
      </c>
    </row>
    <row r="3164" spans="1:6">
      <c r="A3164" s="403">
        <v>6321</v>
      </c>
      <c r="B3164" s="403">
        <v>10</v>
      </c>
      <c r="C3164" s="166">
        <v>1112</v>
      </c>
      <c r="D3164" s="166">
        <v>132</v>
      </c>
      <c r="E3164" s="166" t="s">
        <v>1108</v>
      </c>
      <c r="F3164" s="166">
        <v>460.33338554486534</v>
      </c>
    </row>
    <row r="3165" spans="1:6">
      <c r="A3165" s="403">
        <v>6322</v>
      </c>
      <c r="B3165" s="403">
        <v>10</v>
      </c>
      <c r="C3165" s="166">
        <v>1112</v>
      </c>
      <c r="D3165" s="166">
        <v>132</v>
      </c>
      <c r="E3165" s="166" t="s">
        <v>1108</v>
      </c>
      <c r="F3165" s="166">
        <v>460.33338554486534</v>
      </c>
    </row>
    <row r="3166" spans="1:6">
      <c r="A3166" s="403">
        <v>6323</v>
      </c>
      <c r="B3166" s="403">
        <v>10</v>
      </c>
      <c r="C3166" s="166">
        <v>1112</v>
      </c>
      <c r="D3166" s="166">
        <v>132</v>
      </c>
      <c r="E3166" s="166" t="s">
        <v>1108</v>
      </c>
      <c r="F3166" s="166">
        <v>460.33338554486534</v>
      </c>
    </row>
    <row r="3167" spans="1:6">
      <c r="A3167" s="403">
        <v>6324</v>
      </c>
      <c r="B3167" s="403">
        <v>10</v>
      </c>
      <c r="C3167" s="166">
        <v>1112</v>
      </c>
      <c r="D3167" s="166">
        <v>132</v>
      </c>
      <c r="E3167" s="166" t="s">
        <v>1108</v>
      </c>
      <c r="F3167" s="166">
        <v>460.33338554486534</v>
      </c>
    </row>
    <row r="3168" spans="1:6">
      <c r="A3168" s="403">
        <v>6326</v>
      </c>
      <c r="B3168" s="403">
        <v>10</v>
      </c>
      <c r="C3168" s="166">
        <v>1112</v>
      </c>
      <c r="D3168" s="166">
        <v>132</v>
      </c>
      <c r="E3168" s="166" t="s">
        <v>1108</v>
      </c>
      <c r="F3168" s="166">
        <v>460.33338554486534</v>
      </c>
    </row>
    <row r="3169" spans="1:6">
      <c r="A3169" s="403">
        <v>6327</v>
      </c>
      <c r="B3169" s="403">
        <v>10</v>
      </c>
      <c r="C3169" s="166">
        <v>1112</v>
      </c>
      <c r="D3169" s="166">
        <v>132</v>
      </c>
      <c r="E3169" s="166" t="s">
        <v>1108</v>
      </c>
      <c r="F3169" s="166">
        <v>460.33338554486534</v>
      </c>
    </row>
    <row r="3170" spans="1:6">
      <c r="A3170" s="403">
        <v>6328</v>
      </c>
      <c r="B3170" s="403">
        <v>10</v>
      </c>
      <c r="C3170" s="166">
        <v>1112</v>
      </c>
      <c r="D3170" s="166">
        <v>132</v>
      </c>
      <c r="E3170" s="166" t="s">
        <v>1108</v>
      </c>
      <c r="F3170" s="166">
        <v>460.33338554486534</v>
      </c>
    </row>
    <row r="3171" spans="1:6">
      <c r="A3171" s="403">
        <v>6330</v>
      </c>
      <c r="B3171" s="403">
        <v>10</v>
      </c>
      <c r="C3171" s="166">
        <v>1112</v>
      </c>
      <c r="D3171" s="166">
        <v>132</v>
      </c>
      <c r="E3171" s="166" t="s">
        <v>1108</v>
      </c>
      <c r="F3171" s="166">
        <v>460.33338554486534</v>
      </c>
    </row>
    <row r="3172" spans="1:6">
      <c r="A3172" s="403">
        <v>6331</v>
      </c>
      <c r="B3172" s="403">
        <v>10</v>
      </c>
      <c r="C3172" s="166">
        <v>1112</v>
      </c>
      <c r="D3172" s="166">
        <v>132</v>
      </c>
      <c r="E3172" s="166" t="s">
        <v>1108</v>
      </c>
      <c r="F3172" s="166">
        <v>460.33338554486534</v>
      </c>
    </row>
    <row r="3173" spans="1:6">
      <c r="A3173" s="403">
        <v>6332</v>
      </c>
      <c r="B3173" s="403">
        <v>10</v>
      </c>
      <c r="C3173" s="166">
        <v>1112</v>
      </c>
      <c r="D3173" s="166">
        <v>132</v>
      </c>
      <c r="E3173" s="166" t="s">
        <v>1108</v>
      </c>
      <c r="F3173" s="166">
        <v>460.33338554486534</v>
      </c>
    </row>
    <row r="3174" spans="1:6">
      <c r="A3174" s="403">
        <v>6333</v>
      </c>
      <c r="B3174" s="403">
        <v>9</v>
      </c>
      <c r="C3174" s="166">
        <v>1048</v>
      </c>
      <c r="D3174" s="166">
        <v>274</v>
      </c>
      <c r="E3174" s="166" t="s">
        <v>1108</v>
      </c>
      <c r="F3174" s="166">
        <v>1094.7502314814797</v>
      </c>
    </row>
    <row r="3175" spans="1:6">
      <c r="A3175" s="403">
        <v>6335</v>
      </c>
      <c r="B3175" s="403">
        <v>8</v>
      </c>
      <c r="C3175" s="166">
        <v>1249</v>
      </c>
      <c r="D3175" s="166">
        <v>185</v>
      </c>
      <c r="E3175" s="166" t="s">
        <v>1108</v>
      </c>
      <c r="F3175" s="166">
        <v>1062.2944658944652</v>
      </c>
    </row>
    <row r="3176" spans="1:6">
      <c r="A3176" s="403">
        <v>6336</v>
      </c>
      <c r="B3176" s="403">
        <v>8</v>
      </c>
      <c r="C3176" s="166">
        <v>1249</v>
      </c>
      <c r="D3176" s="166">
        <v>185</v>
      </c>
      <c r="E3176" s="166" t="s">
        <v>1108</v>
      </c>
      <c r="F3176" s="166">
        <v>1062.2944658944652</v>
      </c>
    </row>
    <row r="3177" spans="1:6">
      <c r="A3177" s="403">
        <v>6337</v>
      </c>
      <c r="B3177" s="403">
        <v>8</v>
      </c>
      <c r="C3177" s="166">
        <v>1249</v>
      </c>
      <c r="D3177" s="166">
        <v>185</v>
      </c>
      <c r="E3177" s="166" t="s">
        <v>1108</v>
      </c>
      <c r="F3177" s="166">
        <v>1062.2944658944652</v>
      </c>
    </row>
    <row r="3178" spans="1:6">
      <c r="A3178" s="403">
        <v>6338</v>
      </c>
      <c r="B3178" s="403">
        <v>8</v>
      </c>
      <c r="C3178" s="166">
        <v>1249</v>
      </c>
      <c r="D3178" s="166">
        <v>185</v>
      </c>
      <c r="E3178" s="166" t="s">
        <v>1108</v>
      </c>
      <c r="F3178" s="166">
        <v>1062.2944658944652</v>
      </c>
    </row>
    <row r="3179" spans="1:6">
      <c r="A3179" s="403">
        <v>6341</v>
      </c>
      <c r="B3179" s="403">
        <v>8</v>
      </c>
      <c r="C3179" s="166">
        <v>1249</v>
      </c>
      <c r="D3179" s="166">
        <v>185</v>
      </c>
      <c r="E3179" s="166" t="s">
        <v>1108</v>
      </c>
      <c r="F3179" s="166">
        <v>1062.2944658944652</v>
      </c>
    </row>
    <row r="3180" spans="1:6">
      <c r="A3180" s="403">
        <v>6343</v>
      </c>
      <c r="B3180" s="403">
        <v>8</v>
      </c>
      <c r="C3180" s="166">
        <v>1249</v>
      </c>
      <c r="D3180" s="166">
        <v>185</v>
      </c>
      <c r="E3180" s="166" t="s">
        <v>1108</v>
      </c>
      <c r="F3180" s="166">
        <v>1062.2944658944652</v>
      </c>
    </row>
    <row r="3181" spans="1:6">
      <c r="A3181" s="403">
        <v>6346</v>
      </c>
      <c r="B3181" s="403">
        <v>10</v>
      </c>
      <c r="C3181" s="166">
        <v>1112</v>
      </c>
      <c r="D3181" s="166">
        <v>132</v>
      </c>
      <c r="E3181" s="166" t="s">
        <v>1108</v>
      </c>
      <c r="F3181" s="166">
        <v>460.33338554486534</v>
      </c>
    </row>
    <row r="3182" spans="1:6">
      <c r="A3182" s="403">
        <v>6348</v>
      </c>
      <c r="B3182" s="403">
        <v>10</v>
      </c>
      <c r="C3182" s="166">
        <v>1112</v>
      </c>
      <c r="D3182" s="166">
        <v>132</v>
      </c>
      <c r="E3182" s="166" t="s">
        <v>1108</v>
      </c>
      <c r="F3182" s="166">
        <v>460.33338554486534</v>
      </c>
    </row>
    <row r="3183" spans="1:6">
      <c r="A3183" s="403">
        <v>6350</v>
      </c>
      <c r="B3183" s="403">
        <v>8</v>
      </c>
      <c r="C3183" s="166">
        <v>1249</v>
      </c>
      <c r="D3183" s="166">
        <v>185</v>
      </c>
      <c r="E3183" s="166" t="s">
        <v>1108</v>
      </c>
      <c r="F3183" s="166">
        <v>1062.2944658944652</v>
      </c>
    </row>
    <row r="3184" spans="1:6">
      <c r="A3184" s="403">
        <v>6351</v>
      </c>
      <c r="B3184" s="403">
        <v>8</v>
      </c>
      <c r="C3184" s="166">
        <v>1249</v>
      </c>
      <c r="D3184" s="166">
        <v>185</v>
      </c>
      <c r="E3184" s="166" t="s">
        <v>1108</v>
      </c>
      <c r="F3184" s="166">
        <v>1062.2944658944652</v>
      </c>
    </row>
    <row r="3185" spans="1:6">
      <c r="A3185" s="403">
        <v>6352</v>
      </c>
      <c r="B3185" s="403">
        <v>8</v>
      </c>
      <c r="C3185" s="166">
        <v>1249</v>
      </c>
      <c r="D3185" s="166">
        <v>185</v>
      </c>
      <c r="E3185" s="166" t="s">
        <v>1108</v>
      </c>
      <c r="F3185" s="166">
        <v>1062.2944658944652</v>
      </c>
    </row>
    <row r="3186" spans="1:6">
      <c r="A3186" s="403">
        <v>6353</v>
      </c>
      <c r="B3186" s="403">
        <v>8</v>
      </c>
      <c r="C3186" s="166">
        <v>1249</v>
      </c>
      <c r="D3186" s="166">
        <v>185</v>
      </c>
      <c r="E3186" s="166" t="s">
        <v>1108</v>
      </c>
      <c r="F3186" s="166">
        <v>1062.2944658944652</v>
      </c>
    </row>
    <row r="3187" spans="1:6">
      <c r="A3187" s="403">
        <v>6355</v>
      </c>
      <c r="B3187" s="403">
        <v>8</v>
      </c>
      <c r="C3187" s="166">
        <v>1249</v>
      </c>
      <c r="D3187" s="166">
        <v>185</v>
      </c>
      <c r="E3187" s="166" t="s">
        <v>1108</v>
      </c>
      <c r="F3187" s="166">
        <v>1062.2944658944652</v>
      </c>
    </row>
    <row r="3188" spans="1:6">
      <c r="A3188" s="403">
        <v>6356</v>
      </c>
      <c r="B3188" s="403">
        <v>8</v>
      </c>
      <c r="C3188" s="166">
        <v>1249</v>
      </c>
      <c r="D3188" s="166">
        <v>185</v>
      </c>
      <c r="E3188" s="166" t="s">
        <v>1108</v>
      </c>
      <c r="F3188" s="166">
        <v>1062.2944658944652</v>
      </c>
    </row>
    <row r="3189" spans="1:6">
      <c r="A3189" s="403">
        <v>6357</v>
      </c>
      <c r="B3189" s="403">
        <v>8</v>
      </c>
      <c r="C3189" s="166">
        <v>1249</v>
      </c>
      <c r="D3189" s="166">
        <v>185</v>
      </c>
      <c r="E3189" s="166" t="s">
        <v>1108</v>
      </c>
      <c r="F3189" s="166">
        <v>1062.2944658944652</v>
      </c>
    </row>
    <row r="3190" spans="1:6">
      <c r="A3190" s="403">
        <v>6358</v>
      </c>
      <c r="B3190" s="403">
        <v>8</v>
      </c>
      <c r="C3190" s="166">
        <v>1249</v>
      </c>
      <c r="D3190" s="166">
        <v>185</v>
      </c>
      <c r="E3190" s="166" t="s">
        <v>1108</v>
      </c>
      <c r="F3190" s="166">
        <v>1062.2944658944652</v>
      </c>
    </row>
    <row r="3191" spans="1:6">
      <c r="A3191" s="403">
        <v>6359</v>
      </c>
      <c r="B3191" s="403">
        <v>8</v>
      </c>
      <c r="C3191" s="166">
        <v>1249</v>
      </c>
      <c r="D3191" s="166">
        <v>185</v>
      </c>
      <c r="E3191" s="166" t="s">
        <v>1108</v>
      </c>
      <c r="F3191" s="166">
        <v>1062.2944658944652</v>
      </c>
    </row>
    <row r="3192" spans="1:6">
      <c r="A3192" s="403">
        <v>6361</v>
      </c>
      <c r="B3192" s="403">
        <v>8</v>
      </c>
      <c r="C3192" s="166">
        <v>1249</v>
      </c>
      <c r="D3192" s="166">
        <v>185</v>
      </c>
      <c r="E3192" s="166" t="s">
        <v>1108</v>
      </c>
      <c r="F3192" s="166">
        <v>1062.2944658944652</v>
      </c>
    </row>
    <row r="3193" spans="1:6">
      <c r="A3193" s="403">
        <v>6363</v>
      </c>
      <c r="B3193" s="403">
        <v>8</v>
      </c>
      <c r="C3193" s="166">
        <v>1249</v>
      </c>
      <c r="D3193" s="166">
        <v>185</v>
      </c>
      <c r="E3193" s="166" t="s">
        <v>1108</v>
      </c>
      <c r="F3193" s="166">
        <v>1062.2944658944652</v>
      </c>
    </row>
    <row r="3194" spans="1:6">
      <c r="A3194" s="403">
        <v>6365</v>
      </c>
      <c r="B3194" s="403">
        <v>8</v>
      </c>
      <c r="C3194" s="166">
        <v>1249</v>
      </c>
      <c r="D3194" s="166">
        <v>185</v>
      </c>
      <c r="E3194" s="166" t="s">
        <v>1108</v>
      </c>
      <c r="F3194" s="166">
        <v>1062.2944658944652</v>
      </c>
    </row>
    <row r="3195" spans="1:6">
      <c r="A3195" s="403">
        <v>6367</v>
      </c>
      <c r="B3195" s="403">
        <v>8</v>
      </c>
      <c r="C3195" s="166">
        <v>1249</v>
      </c>
      <c r="D3195" s="166">
        <v>185</v>
      </c>
      <c r="E3195" s="166" t="s">
        <v>1108</v>
      </c>
      <c r="F3195" s="166">
        <v>1062.2944658944652</v>
      </c>
    </row>
    <row r="3196" spans="1:6">
      <c r="A3196" s="403">
        <v>6368</v>
      </c>
      <c r="B3196" s="403">
        <v>6</v>
      </c>
      <c r="C3196" s="166">
        <v>939</v>
      </c>
      <c r="D3196" s="166">
        <v>327</v>
      </c>
      <c r="E3196" s="166" t="s">
        <v>1108</v>
      </c>
      <c r="F3196" s="166">
        <v>1721.4764123611774</v>
      </c>
    </row>
    <row r="3197" spans="1:6">
      <c r="A3197" s="403">
        <v>6369</v>
      </c>
      <c r="B3197" s="403">
        <v>6</v>
      </c>
      <c r="C3197" s="166">
        <v>939</v>
      </c>
      <c r="D3197" s="166">
        <v>327</v>
      </c>
      <c r="E3197" s="166" t="s">
        <v>1108</v>
      </c>
      <c r="F3197" s="166">
        <v>1721.4764123611774</v>
      </c>
    </row>
    <row r="3198" spans="1:6">
      <c r="A3198" s="403">
        <v>6370</v>
      </c>
      <c r="B3198" s="403">
        <v>8</v>
      </c>
      <c r="C3198" s="166">
        <v>1249</v>
      </c>
      <c r="D3198" s="166">
        <v>185</v>
      </c>
      <c r="E3198" s="166" t="s">
        <v>1108</v>
      </c>
      <c r="F3198" s="166">
        <v>1062.2944658944652</v>
      </c>
    </row>
    <row r="3199" spans="1:6">
      <c r="A3199" s="403">
        <v>6372</v>
      </c>
      <c r="B3199" s="403">
        <v>8</v>
      </c>
      <c r="C3199" s="166">
        <v>1249</v>
      </c>
      <c r="D3199" s="166">
        <v>185</v>
      </c>
      <c r="E3199" s="166" t="s">
        <v>1108</v>
      </c>
      <c r="F3199" s="166">
        <v>1062.2944658944652</v>
      </c>
    </row>
    <row r="3200" spans="1:6">
      <c r="A3200" s="403">
        <v>6373</v>
      </c>
      <c r="B3200" s="403">
        <v>8</v>
      </c>
      <c r="C3200" s="166">
        <v>1249</v>
      </c>
      <c r="D3200" s="166">
        <v>185</v>
      </c>
      <c r="E3200" s="166" t="s">
        <v>1108</v>
      </c>
      <c r="F3200" s="166">
        <v>1062.2944658944652</v>
      </c>
    </row>
    <row r="3201" spans="1:6">
      <c r="A3201" s="403">
        <v>6375</v>
      </c>
      <c r="B3201" s="403">
        <v>8</v>
      </c>
      <c r="C3201" s="166">
        <v>1249</v>
      </c>
      <c r="D3201" s="166">
        <v>185</v>
      </c>
      <c r="E3201" s="166" t="s">
        <v>1108</v>
      </c>
      <c r="F3201" s="166">
        <v>1062.2944658944652</v>
      </c>
    </row>
    <row r="3202" spans="1:6">
      <c r="A3202" s="403">
        <v>6376</v>
      </c>
      <c r="B3202" s="403">
        <v>8</v>
      </c>
      <c r="C3202" s="166">
        <v>1249</v>
      </c>
      <c r="D3202" s="166">
        <v>185</v>
      </c>
      <c r="E3202" s="166" t="s">
        <v>1108</v>
      </c>
      <c r="F3202" s="166">
        <v>1062.2944658944652</v>
      </c>
    </row>
    <row r="3203" spans="1:6">
      <c r="A3203" s="403">
        <v>6380</v>
      </c>
      <c r="B3203" s="403">
        <v>6</v>
      </c>
      <c r="C3203" s="166">
        <v>939</v>
      </c>
      <c r="D3203" s="166">
        <v>327</v>
      </c>
      <c r="E3203" s="166" t="s">
        <v>1108</v>
      </c>
      <c r="F3203" s="166">
        <v>1721.4764123611774</v>
      </c>
    </row>
    <row r="3204" spans="1:6">
      <c r="A3204" s="403">
        <v>6383</v>
      </c>
      <c r="B3204" s="403">
        <v>6</v>
      </c>
      <c r="C3204" s="166">
        <v>939</v>
      </c>
      <c r="D3204" s="166">
        <v>327</v>
      </c>
      <c r="E3204" s="166" t="s">
        <v>1108</v>
      </c>
      <c r="F3204" s="166">
        <v>1721.4764123611774</v>
      </c>
    </row>
    <row r="3205" spans="1:6">
      <c r="A3205" s="403">
        <v>6384</v>
      </c>
      <c r="B3205" s="403">
        <v>6</v>
      </c>
      <c r="C3205" s="166">
        <v>939</v>
      </c>
      <c r="D3205" s="166">
        <v>327</v>
      </c>
      <c r="E3205" s="166" t="s">
        <v>1108</v>
      </c>
      <c r="F3205" s="166">
        <v>1721.4764123611774</v>
      </c>
    </row>
    <row r="3206" spans="1:6">
      <c r="A3206" s="403">
        <v>6385</v>
      </c>
      <c r="B3206" s="403">
        <v>6</v>
      </c>
      <c r="C3206" s="166">
        <v>939</v>
      </c>
      <c r="D3206" s="166">
        <v>327</v>
      </c>
      <c r="E3206" s="166" t="s">
        <v>1108</v>
      </c>
      <c r="F3206" s="166">
        <v>1721.4764123611774</v>
      </c>
    </row>
    <row r="3207" spans="1:6">
      <c r="A3207" s="403">
        <v>6386</v>
      </c>
      <c r="B3207" s="403">
        <v>6</v>
      </c>
      <c r="C3207" s="166">
        <v>939</v>
      </c>
      <c r="D3207" s="166">
        <v>327</v>
      </c>
      <c r="E3207" s="166" t="s">
        <v>1108</v>
      </c>
      <c r="F3207" s="166">
        <v>1721.4764123611774</v>
      </c>
    </row>
    <row r="3208" spans="1:6">
      <c r="A3208" s="403">
        <v>6390</v>
      </c>
      <c r="B3208" s="403">
        <v>7</v>
      </c>
      <c r="C3208" s="166">
        <v>680</v>
      </c>
      <c r="D3208" s="166">
        <v>340</v>
      </c>
      <c r="E3208" s="166" t="s">
        <v>1108</v>
      </c>
      <c r="F3208" s="166">
        <v>1648.3206367924527</v>
      </c>
    </row>
    <row r="3209" spans="1:6">
      <c r="A3209" s="403">
        <v>6391</v>
      </c>
      <c r="B3209" s="403">
        <v>7</v>
      </c>
      <c r="C3209" s="166">
        <v>680</v>
      </c>
      <c r="D3209" s="166">
        <v>340</v>
      </c>
      <c r="E3209" s="166" t="s">
        <v>1108</v>
      </c>
      <c r="F3209" s="166">
        <v>1648.3206367924527</v>
      </c>
    </row>
    <row r="3210" spans="1:6">
      <c r="A3210" s="403">
        <v>6392</v>
      </c>
      <c r="B3210" s="403">
        <v>7</v>
      </c>
      <c r="C3210" s="166">
        <v>680</v>
      </c>
      <c r="D3210" s="166">
        <v>340</v>
      </c>
      <c r="E3210" s="166" t="s">
        <v>1108</v>
      </c>
      <c r="F3210" s="166">
        <v>1648.3206367924527</v>
      </c>
    </row>
    <row r="3211" spans="1:6">
      <c r="A3211" s="403">
        <v>6393</v>
      </c>
      <c r="B3211" s="403">
        <v>7</v>
      </c>
      <c r="C3211" s="166">
        <v>680</v>
      </c>
      <c r="D3211" s="166">
        <v>340</v>
      </c>
      <c r="E3211" s="166" t="s">
        <v>1108</v>
      </c>
      <c r="F3211" s="166">
        <v>1648.3206367924527</v>
      </c>
    </row>
    <row r="3212" spans="1:6">
      <c r="A3212" s="403">
        <v>6394</v>
      </c>
      <c r="B3212" s="403">
        <v>9</v>
      </c>
      <c r="C3212" s="166">
        <v>1048</v>
      </c>
      <c r="D3212" s="166">
        <v>274</v>
      </c>
      <c r="E3212" s="166" t="s">
        <v>1108</v>
      </c>
      <c r="F3212" s="166">
        <v>1094.7502314814797</v>
      </c>
    </row>
    <row r="3213" spans="1:6">
      <c r="A3213" s="403">
        <v>6395</v>
      </c>
      <c r="B3213" s="403">
        <v>9</v>
      </c>
      <c r="C3213" s="166">
        <v>1048</v>
      </c>
      <c r="D3213" s="166">
        <v>274</v>
      </c>
      <c r="E3213" s="166" t="s">
        <v>1108</v>
      </c>
      <c r="F3213" s="166">
        <v>1094.7502314814797</v>
      </c>
    </row>
    <row r="3214" spans="1:6">
      <c r="A3214" s="403">
        <v>6396</v>
      </c>
      <c r="B3214" s="403">
        <v>10</v>
      </c>
      <c r="C3214" s="166">
        <v>1112</v>
      </c>
      <c r="D3214" s="166">
        <v>132</v>
      </c>
      <c r="E3214" s="166" t="s">
        <v>1108</v>
      </c>
      <c r="F3214" s="166">
        <v>460.33338554486534</v>
      </c>
    </row>
    <row r="3215" spans="1:6">
      <c r="A3215" s="403">
        <v>6397</v>
      </c>
      <c r="B3215" s="403">
        <v>10</v>
      </c>
      <c r="C3215" s="166">
        <v>1112</v>
      </c>
      <c r="D3215" s="166">
        <v>132</v>
      </c>
      <c r="E3215" s="166" t="s">
        <v>1108</v>
      </c>
      <c r="F3215" s="166">
        <v>460.33338554486534</v>
      </c>
    </row>
    <row r="3216" spans="1:6">
      <c r="A3216" s="403">
        <v>6398</v>
      </c>
      <c r="B3216" s="403">
        <v>9</v>
      </c>
      <c r="C3216" s="166">
        <v>1048</v>
      </c>
      <c r="D3216" s="166">
        <v>274</v>
      </c>
      <c r="E3216" s="166" t="s">
        <v>1108</v>
      </c>
      <c r="F3216" s="166">
        <v>1094.7502314814797</v>
      </c>
    </row>
    <row r="3217" spans="1:6">
      <c r="A3217" s="403">
        <v>6401</v>
      </c>
      <c r="B3217" s="403">
        <v>7</v>
      </c>
      <c r="C3217" s="166">
        <v>680</v>
      </c>
      <c r="D3217" s="166">
        <v>340</v>
      </c>
      <c r="E3217" s="166" t="s">
        <v>1108</v>
      </c>
      <c r="F3217" s="166">
        <v>1648.3206367924527</v>
      </c>
    </row>
    <row r="3218" spans="1:6">
      <c r="A3218" s="403">
        <v>6403</v>
      </c>
      <c r="B3218" s="403">
        <v>7</v>
      </c>
      <c r="C3218" s="166">
        <v>680</v>
      </c>
      <c r="D3218" s="166">
        <v>340</v>
      </c>
      <c r="E3218" s="166" t="s">
        <v>1108</v>
      </c>
      <c r="F3218" s="166">
        <v>1648.3206367924527</v>
      </c>
    </row>
    <row r="3219" spans="1:6">
      <c r="A3219" s="403">
        <v>6405</v>
      </c>
      <c r="B3219" s="403">
        <v>7</v>
      </c>
      <c r="C3219" s="166">
        <v>680</v>
      </c>
      <c r="D3219" s="166">
        <v>340</v>
      </c>
      <c r="E3219" s="166" t="s">
        <v>1108</v>
      </c>
      <c r="F3219" s="166">
        <v>1648.3206367924527</v>
      </c>
    </row>
    <row r="3220" spans="1:6">
      <c r="A3220" s="403">
        <v>6407</v>
      </c>
      <c r="B3220" s="403">
        <v>6</v>
      </c>
      <c r="C3220" s="166">
        <v>939</v>
      </c>
      <c r="D3220" s="166">
        <v>327</v>
      </c>
      <c r="E3220" s="166" t="s">
        <v>1108</v>
      </c>
      <c r="F3220" s="166">
        <v>1721.4764123611774</v>
      </c>
    </row>
    <row r="3221" spans="1:6">
      <c r="A3221" s="403">
        <v>6409</v>
      </c>
      <c r="B3221" s="403">
        <v>7</v>
      </c>
      <c r="C3221" s="166">
        <v>680</v>
      </c>
      <c r="D3221" s="166">
        <v>340</v>
      </c>
      <c r="E3221" s="166" t="s">
        <v>1108</v>
      </c>
      <c r="F3221" s="166">
        <v>1648.3206367924527</v>
      </c>
    </row>
    <row r="3222" spans="1:6">
      <c r="A3222" s="403">
        <v>6410</v>
      </c>
      <c r="B3222" s="403">
        <v>6</v>
      </c>
      <c r="C3222" s="166">
        <v>939</v>
      </c>
      <c r="D3222" s="166">
        <v>327</v>
      </c>
      <c r="E3222" s="166" t="s">
        <v>1108</v>
      </c>
      <c r="F3222" s="166">
        <v>1721.4764123611774</v>
      </c>
    </row>
    <row r="3223" spans="1:6">
      <c r="A3223" s="403">
        <v>6411</v>
      </c>
      <c r="B3223" s="403">
        <v>6</v>
      </c>
      <c r="C3223" s="166">
        <v>939</v>
      </c>
      <c r="D3223" s="166">
        <v>327</v>
      </c>
      <c r="E3223" s="166" t="s">
        <v>1108</v>
      </c>
      <c r="F3223" s="166">
        <v>1721.4764123611774</v>
      </c>
    </row>
    <row r="3224" spans="1:6">
      <c r="A3224" s="403">
        <v>6412</v>
      </c>
      <c r="B3224" s="403">
        <v>6</v>
      </c>
      <c r="C3224" s="166">
        <v>939</v>
      </c>
      <c r="D3224" s="166">
        <v>327</v>
      </c>
      <c r="E3224" s="166" t="s">
        <v>1108</v>
      </c>
      <c r="F3224" s="166">
        <v>1721.4764123611774</v>
      </c>
    </row>
    <row r="3225" spans="1:6">
      <c r="A3225" s="403">
        <v>6413</v>
      </c>
      <c r="B3225" s="403">
        <v>6</v>
      </c>
      <c r="C3225" s="166">
        <v>939</v>
      </c>
      <c r="D3225" s="166">
        <v>327</v>
      </c>
      <c r="E3225" s="166" t="s">
        <v>1108</v>
      </c>
      <c r="F3225" s="166">
        <v>1721.4764123611774</v>
      </c>
    </row>
    <row r="3226" spans="1:6">
      <c r="A3226" s="403">
        <v>6414</v>
      </c>
      <c r="B3226" s="403">
        <v>6</v>
      </c>
      <c r="C3226" s="166">
        <v>939</v>
      </c>
      <c r="D3226" s="166">
        <v>327</v>
      </c>
      <c r="E3226" s="166" t="s">
        <v>1108</v>
      </c>
      <c r="F3226" s="166">
        <v>1721.4764123611774</v>
      </c>
    </row>
    <row r="3227" spans="1:6">
      <c r="A3227" s="403">
        <v>6415</v>
      </c>
      <c r="B3227" s="403">
        <v>6</v>
      </c>
      <c r="C3227" s="166">
        <v>939</v>
      </c>
      <c r="D3227" s="166">
        <v>327</v>
      </c>
      <c r="E3227" s="166" t="s">
        <v>1108</v>
      </c>
      <c r="F3227" s="166">
        <v>1721.4764123611774</v>
      </c>
    </row>
    <row r="3228" spans="1:6">
      <c r="A3228" s="403">
        <v>6417</v>
      </c>
      <c r="B3228" s="403">
        <v>6</v>
      </c>
      <c r="C3228" s="166">
        <v>939</v>
      </c>
      <c r="D3228" s="166">
        <v>327</v>
      </c>
      <c r="E3228" s="166" t="s">
        <v>1108</v>
      </c>
      <c r="F3228" s="166">
        <v>1721.4764123611774</v>
      </c>
    </row>
    <row r="3229" spans="1:6">
      <c r="A3229" s="403">
        <v>6418</v>
      </c>
      <c r="B3229" s="403">
        <v>6</v>
      </c>
      <c r="C3229" s="166">
        <v>939</v>
      </c>
      <c r="D3229" s="166">
        <v>327</v>
      </c>
      <c r="E3229" s="166" t="s">
        <v>1108</v>
      </c>
      <c r="F3229" s="166">
        <v>1721.4764123611774</v>
      </c>
    </row>
    <row r="3230" spans="1:6">
      <c r="A3230" s="403">
        <v>6419</v>
      </c>
      <c r="B3230" s="403">
        <v>6</v>
      </c>
      <c r="C3230" s="166">
        <v>939</v>
      </c>
      <c r="D3230" s="166">
        <v>327</v>
      </c>
      <c r="E3230" s="166" t="s">
        <v>1108</v>
      </c>
      <c r="F3230" s="166">
        <v>1721.4764123611774</v>
      </c>
    </row>
    <row r="3231" spans="1:6">
      <c r="A3231" s="403">
        <v>6420</v>
      </c>
      <c r="B3231" s="403">
        <v>6</v>
      </c>
      <c r="C3231" s="166">
        <v>939</v>
      </c>
      <c r="D3231" s="166">
        <v>327</v>
      </c>
      <c r="E3231" s="166" t="s">
        <v>1108</v>
      </c>
      <c r="F3231" s="166">
        <v>1721.4764123611774</v>
      </c>
    </row>
    <row r="3232" spans="1:6">
      <c r="A3232" s="403">
        <v>6421</v>
      </c>
      <c r="B3232" s="403">
        <v>6</v>
      </c>
      <c r="C3232" s="166">
        <v>939</v>
      </c>
      <c r="D3232" s="166">
        <v>327</v>
      </c>
      <c r="E3232" s="166" t="s">
        <v>1108</v>
      </c>
      <c r="F3232" s="166">
        <v>1721.4764123611774</v>
      </c>
    </row>
    <row r="3233" spans="1:6">
      <c r="A3233" s="403">
        <v>6422</v>
      </c>
      <c r="B3233" s="403">
        <v>6</v>
      </c>
      <c r="C3233" s="166">
        <v>939</v>
      </c>
      <c r="D3233" s="166">
        <v>327</v>
      </c>
      <c r="E3233" s="166" t="s">
        <v>1108</v>
      </c>
      <c r="F3233" s="166">
        <v>1721.4764123611774</v>
      </c>
    </row>
    <row r="3234" spans="1:6">
      <c r="A3234" s="403">
        <v>6423</v>
      </c>
      <c r="B3234" s="403">
        <v>6</v>
      </c>
      <c r="C3234" s="166">
        <v>939</v>
      </c>
      <c r="D3234" s="166">
        <v>327</v>
      </c>
      <c r="E3234" s="166" t="s">
        <v>1108</v>
      </c>
      <c r="F3234" s="166">
        <v>1721.4764123611774</v>
      </c>
    </row>
    <row r="3235" spans="1:6">
      <c r="A3235" s="403">
        <v>6424</v>
      </c>
      <c r="B3235" s="403">
        <v>6</v>
      </c>
      <c r="C3235" s="166">
        <v>939</v>
      </c>
      <c r="D3235" s="166">
        <v>327</v>
      </c>
      <c r="E3235" s="166" t="s">
        <v>1108</v>
      </c>
      <c r="F3235" s="166">
        <v>1721.4764123611774</v>
      </c>
    </row>
    <row r="3236" spans="1:6">
      <c r="A3236" s="403">
        <v>6425</v>
      </c>
      <c r="B3236" s="403">
        <v>6</v>
      </c>
      <c r="C3236" s="166">
        <v>939</v>
      </c>
      <c r="D3236" s="166">
        <v>327</v>
      </c>
      <c r="E3236" s="166" t="s">
        <v>1108</v>
      </c>
      <c r="F3236" s="166">
        <v>1721.4764123611774</v>
      </c>
    </row>
    <row r="3237" spans="1:6">
      <c r="A3237" s="403">
        <v>6426</v>
      </c>
      <c r="B3237" s="403">
        <v>6</v>
      </c>
      <c r="C3237" s="166">
        <v>939</v>
      </c>
      <c r="D3237" s="166">
        <v>327</v>
      </c>
      <c r="E3237" s="166" t="s">
        <v>1108</v>
      </c>
      <c r="F3237" s="166">
        <v>1721.4764123611774</v>
      </c>
    </row>
    <row r="3238" spans="1:6">
      <c r="A3238" s="403">
        <v>6427</v>
      </c>
      <c r="B3238" s="403">
        <v>6</v>
      </c>
      <c r="C3238" s="166">
        <v>939</v>
      </c>
      <c r="D3238" s="166">
        <v>327</v>
      </c>
      <c r="E3238" s="166" t="s">
        <v>1108</v>
      </c>
      <c r="F3238" s="166">
        <v>1721.4764123611774</v>
      </c>
    </row>
    <row r="3239" spans="1:6">
      <c r="A3239" s="403">
        <v>6428</v>
      </c>
      <c r="B3239" s="403">
        <v>6</v>
      </c>
      <c r="C3239" s="166">
        <v>939</v>
      </c>
      <c r="D3239" s="166">
        <v>327</v>
      </c>
      <c r="E3239" s="166" t="s">
        <v>1108</v>
      </c>
      <c r="F3239" s="166">
        <v>1721.4764123611774</v>
      </c>
    </row>
    <row r="3240" spans="1:6">
      <c r="A3240" s="403">
        <v>6429</v>
      </c>
      <c r="B3240" s="403">
        <v>11</v>
      </c>
      <c r="C3240" s="166">
        <v>899</v>
      </c>
      <c r="D3240" s="166">
        <v>243</v>
      </c>
      <c r="E3240" s="166" t="s">
        <v>1108</v>
      </c>
      <c r="F3240" s="166">
        <v>2374.3539736346506</v>
      </c>
    </row>
    <row r="3241" spans="1:6">
      <c r="A3241" s="403">
        <v>6430</v>
      </c>
      <c r="B3241" s="403">
        <v>11</v>
      </c>
      <c r="C3241" s="166">
        <v>899</v>
      </c>
      <c r="D3241" s="166">
        <v>243</v>
      </c>
      <c r="E3241" s="166" t="s">
        <v>1108</v>
      </c>
      <c r="F3241" s="166">
        <v>2374.3539736346506</v>
      </c>
    </row>
    <row r="3242" spans="1:6">
      <c r="A3242" s="403">
        <v>6431</v>
      </c>
      <c r="B3242" s="403">
        <v>11</v>
      </c>
      <c r="C3242" s="166">
        <v>899</v>
      </c>
      <c r="D3242" s="166">
        <v>243</v>
      </c>
      <c r="E3242" s="166" t="s">
        <v>1108</v>
      </c>
      <c r="F3242" s="166">
        <v>2374.3539736346506</v>
      </c>
    </row>
    <row r="3243" spans="1:6">
      <c r="A3243" s="403">
        <v>6432</v>
      </c>
      <c r="B3243" s="403">
        <v>11</v>
      </c>
      <c r="C3243" s="166">
        <v>899</v>
      </c>
      <c r="D3243" s="166">
        <v>243</v>
      </c>
      <c r="E3243" s="166" t="s">
        <v>1108</v>
      </c>
      <c r="F3243" s="166">
        <v>2374.3539736346506</v>
      </c>
    </row>
    <row r="3244" spans="1:6">
      <c r="A3244" s="403">
        <v>6433</v>
      </c>
      <c r="B3244" s="403">
        <v>11</v>
      </c>
      <c r="C3244" s="166">
        <v>899</v>
      </c>
      <c r="D3244" s="166">
        <v>243</v>
      </c>
      <c r="E3244" s="166" t="s">
        <v>1108</v>
      </c>
      <c r="F3244" s="166">
        <v>2374.3539736346506</v>
      </c>
    </row>
    <row r="3245" spans="1:6">
      <c r="A3245" s="403">
        <v>6434</v>
      </c>
      <c r="B3245" s="403">
        <v>11</v>
      </c>
      <c r="C3245" s="166">
        <v>899</v>
      </c>
      <c r="D3245" s="166">
        <v>243</v>
      </c>
      <c r="E3245" s="166" t="s">
        <v>1108</v>
      </c>
      <c r="F3245" s="166">
        <v>2374.3539736346506</v>
      </c>
    </row>
    <row r="3246" spans="1:6">
      <c r="A3246" s="403">
        <v>6435</v>
      </c>
      <c r="B3246" s="403">
        <v>11</v>
      </c>
      <c r="C3246" s="166">
        <v>899</v>
      </c>
      <c r="D3246" s="166">
        <v>243</v>
      </c>
      <c r="E3246" s="166" t="s">
        <v>1108</v>
      </c>
      <c r="F3246" s="166">
        <v>2374.3539736346506</v>
      </c>
    </row>
    <row r="3247" spans="1:6">
      <c r="A3247" s="403">
        <v>6436</v>
      </c>
      <c r="B3247" s="403">
        <v>11</v>
      </c>
      <c r="C3247" s="166">
        <v>899</v>
      </c>
      <c r="D3247" s="166">
        <v>243</v>
      </c>
      <c r="E3247" s="166" t="s">
        <v>1108</v>
      </c>
      <c r="F3247" s="166">
        <v>2374.3539736346506</v>
      </c>
    </row>
    <row r="3248" spans="1:6">
      <c r="A3248" s="403">
        <v>6437</v>
      </c>
      <c r="B3248" s="403">
        <v>11</v>
      </c>
      <c r="C3248" s="166">
        <v>899</v>
      </c>
      <c r="D3248" s="166">
        <v>243</v>
      </c>
      <c r="E3248" s="166" t="s">
        <v>1108</v>
      </c>
      <c r="F3248" s="166">
        <v>2374.3539736346506</v>
      </c>
    </row>
    <row r="3249" spans="1:6">
      <c r="A3249" s="403">
        <v>6438</v>
      </c>
      <c r="B3249" s="403">
        <v>11</v>
      </c>
      <c r="C3249" s="166">
        <v>899</v>
      </c>
      <c r="D3249" s="166">
        <v>243</v>
      </c>
      <c r="E3249" s="166" t="s">
        <v>1108</v>
      </c>
      <c r="F3249" s="166">
        <v>2374.3539736346506</v>
      </c>
    </row>
    <row r="3250" spans="1:6">
      <c r="A3250" s="403">
        <v>6439</v>
      </c>
      <c r="B3250" s="403">
        <v>11</v>
      </c>
      <c r="C3250" s="166">
        <v>899</v>
      </c>
      <c r="D3250" s="166">
        <v>243</v>
      </c>
      <c r="E3250" s="166" t="s">
        <v>1108</v>
      </c>
      <c r="F3250" s="166">
        <v>2374.3539736346506</v>
      </c>
    </row>
    <row r="3251" spans="1:6">
      <c r="A3251" s="403">
        <v>6440</v>
      </c>
      <c r="B3251" s="403">
        <v>11</v>
      </c>
      <c r="C3251" s="166">
        <v>899</v>
      </c>
      <c r="D3251" s="166">
        <v>243</v>
      </c>
      <c r="E3251" s="166" t="s">
        <v>1108</v>
      </c>
      <c r="F3251" s="166">
        <v>2374.3539736346506</v>
      </c>
    </row>
    <row r="3252" spans="1:6">
      <c r="A3252" s="403">
        <v>6442</v>
      </c>
      <c r="B3252" s="403">
        <v>11</v>
      </c>
      <c r="C3252" s="166">
        <v>899</v>
      </c>
      <c r="D3252" s="166">
        <v>243</v>
      </c>
      <c r="E3252" s="166" t="s">
        <v>1108</v>
      </c>
      <c r="F3252" s="166">
        <v>2374.3539736346506</v>
      </c>
    </row>
    <row r="3253" spans="1:6">
      <c r="A3253" s="403">
        <v>6443</v>
      </c>
      <c r="B3253" s="403">
        <v>11</v>
      </c>
      <c r="C3253" s="166">
        <v>899</v>
      </c>
      <c r="D3253" s="166">
        <v>243</v>
      </c>
      <c r="E3253" s="166" t="s">
        <v>1108</v>
      </c>
      <c r="F3253" s="166">
        <v>2374.3539736346506</v>
      </c>
    </row>
    <row r="3254" spans="1:6">
      <c r="A3254" s="403">
        <v>6444</v>
      </c>
      <c r="B3254" s="403">
        <v>11</v>
      </c>
      <c r="C3254" s="166">
        <v>899</v>
      </c>
      <c r="D3254" s="166">
        <v>243</v>
      </c>
      <c r="E3254" s="166" t="s">
        <v>1108</v>
      </c>
      <c r="F3254" s="166">
        <v>2374.3539736346506</v>
      </c>
    </row>
    <row r="3255" spans="1:6">
      <c r="A3255" s="403">
        <v>6445</v>
      </c>
      <c r="B3255" s="403">
        <v>10</v>
      </c>
      <c r="C3255" s="166">
        <v>1112</v>
      </c>
      <c r="D3255" s="166">
        <v>132</v>
      </c>
      <c r="E3255" s="166" t="s">
        <v>1108</v>
      </c>
      <c r="F3255" s="166">
        <v>460.33338554486534</v>
      </c>
    </row>
    <row r="3256" spans="1:6">
      <c r="A3256" s="403">
        <v>6446</v>
      </c>
      <c r="B3256" s="403">
        <v>10</v>
      </c>
      <c r="C3256" s="166">
        <v>1112</v>
      </c>
      <c r="D3256" s="166">
        <v>132</v>
      </c>
      <c r="E3256" s="166" t="s">
        <v>1108</v>
      </c>
      <c r="F3256" s="166">
        <v>460.33338554486534</v>
      </c>
    </row>
    <row r="3257" spans="1:6">
      <c r="A3257" s="403">
        <v>6447</v>
      </c>
      <c r="B3257" s="403">
        <v>10</v>
      </c>
      <c r="C3257" s="166">
        <v>1112</v>
      </c>
      <c r="D3257" s="166">
        <v>132</v>
      </c>
      <c r="E3257" s="166" t="s">
        <v>1108</v>
      </c>
      <c r="F3257" s="166">
        <v>460.33338554486534</v>
      </c>
    </row>
    <row r="3258" spans="1:6">
      <c r="A3258" s="403">
        <v>6448</v>
      </c>
      <c r="B3258" s="403">
        <v>10</v>
      </c>
      <c r="C3258" s="166">
        <v>1112</v>
      </c>
      <c r="D3258" s="166">
        <v>132</v>
      </c>
      <c r="E3258" s="166" t="s">
        <v>1108</v>
      </c>
      <c r="F3258" s="166">
        <v>460.33338554486534</v>
      </c>
    </row>
    <row r="3259" spans="1:6">
      <c r="A3259" s="403">
        <v>6450</v>
      </c>
      <c r="B3259" s="403">
        <v>10</v>
      </c>
      <c r="C3259" s="166">
        <v>1112</v>
      </c>
      <c r="D3259" s="166">
        <v>132</v>
      </c>
      <c r="E3259" s="166" t="s">
        <v>1108</v>
      </c>
      <c r="F3259" s="166">
        <v>460.33338554486534</v>
      </c>
    </row>
    <row r="3260" spans="1:6">
      <c r="A3260" s="403">
        <v>6460</v>
      </c>
      <c r="B3260" s="403">
        <v>7</v>
      </c>
      <c r="C3260" s="166">
        <v>680</v>
      </c>
      <c r="D3260" s="166">
        <v>340</v>
      </c>
      <c r="E3260" s="166" t="s">
        <v>1108</v>
      </c>
      <c r="F3260" s="166">
        <v>1648.3206367924527</v>
      </c>
    </row>
    <row r="3261" spans="1:6">
      <c r="A3261" s="403">
        <v>6461</v>
      </c>
      <c r="B3261" s="403">
        <v>7</v>
      </c>
      <c r="C3261" s="166">
        <v>680</v>
      </c>
      <c r="D3261" s="166">
        <v>340</v>
      </c>
      <c r="E3261" s="166" t="s">
        <v>1108</v>
      </c>
      <c r="F3261" s="166">
        <v>1648.3206367924527</v>
      </c>
    </row>
    <row r="3262" spans="1:6">
      <c r="A3262" s="403">
        <v>6462</v>
      </c>
      <c r="B3262" s="403">
        <v>7</v>
      </c>
      <c r="C3262" s="166">
        <v>680</v>
      </c>
      <c r="D3262" s="166">
        <v>340</v>
      </c>
      <c r="E3262" s="166" t="s">
        <v>1108</v>
      </c>
      <c r="F3262" s="166">
        <v>1648.3206367924527</v>
      </c>
    </row>
    <row r="3263" spans="1:6">
      <c r="A3263" s="403">
        <v>6463</v>
      </c>
      <c r="B3263" s="403">
        <v>6</v>
      </c>
      <c r="C3263" s="166">
        <v>939</v>
      </c>
      <c r="D3263" s="166">
        <v>327</v>
      </c>
      <c r="E3263" s="166" t="s">
        <v>1108</v>
      </c>
      <c r="F3263" s="166">
        <v>1721.4764123611774</v>
      </c>
    </row>
    <row r="3264" spans="1:6">
      <c r="A3264" s="403">
        <v>6464</v>
      </c>
      <c r="B3264" s="403">
        <v>7</v>
      </c>
      <c r="C3264" s="166">
        <v>680</v>
      </c>
      <c r="D3264" s="166">
        <v>340</v>
      </c>
      <c r="E3264" s="166" t="s">
        <v>1108</v>
      </c>
      <c r="F3264" s="166">
        <v>1648.3206367924527</v>
      </c>
    </row>
    <row r="3265" spans="1:6">
      <c r="A3265" s="403">
        <v>6465</v>
      </c>
      <c r="B3265" s="403">
        <v>7</v>
      </c>
      <c r="C3265" s="166">
        <v>680</v>
      </c>
      <c r="D3265" s="166">
        <v>340</v>
      </c>
      <c r="E3265" s="166" t="s">
        <v>1108</v>
      </c>
      <c r="F3265" s="166">
        <v>1648.3206367924527</v>
      </c>
    </row>
    <row r="3266" spans="1:6">
      <c r="A3266" s="403">
        <v>6466</v>
      </c>
      <c r="B3266" s="403">
        <v>7</v>
      </c>
      <c r="C3266" s="166">
        <v>680</v>
      </c>
      <c r="D3266" s="166">
        <v>340</v>
      </c>
      <c r="E3266" s="166" t="s">
        <v>1108</v>
      </c>
      <c r="F3266" s="166">
        <v>1648.3206367924527</v>
      </c>
    </row>
    <row r="3267" spans="1:6">
      <c r="A3267" s="403">
        <v>6467</v>
      </c>
      <c r="B3267" s="403">
        <v>7</v>
      </c>
      <c r="C3267" s="166">
        <v>680</v>
      </c>
      <c r="D3267" s="166">
        <v>340</v>
      </c>
      <c r="E3267" s="166" t="s">
        <v>1108</v>
      </c>
      <c r="F3267" s="166">
        <v>1648.3206367924527</v>
      </c>
    </row>
    <row r="3268" spans="1:6">
      <c r="A3268" s="403">
        <v>6468</v>
      </c>
      <c r="B3268" s="403">
        <v>7</v>
      </c>
      <c r="C3268" s="166">
        <v>680</v>
      </c>
      <c r="D3268" s="166">
        <v>340</v>
      </c>
      <c r="E3268" s="166" t="s">
        <v>1108</v>
      </c>
      <c r="F3268" s="166">
        <v>1648.3206367924527</v>
      </c>
    </row>
    <row r="3269" spans="1:6">
      <c r="A3269" s="403">
        <v>6470</v>
      </c>
      <c r="B3269" s="403">
        <v>7</v>
      </c>
      <c r="C3269" s="166">
        <v>680</v>
      </c>
      <c r="D3269" s="166">
        <v>340</v>
      </c>
      <c r="E3269" s="166" t="s">
        <v>1108</v>
      </c>
      <c r="F3269" s="166">
        <v>1648.3206367924527</v>
      </c>
    </row>
    <row r="3270" spans="1:6">
      <c r="A3270" s="403">
        <v>6472</v>
      </c>
      <c r="B3270" s="403">
        <v>7</v>
      </c>
      <c r="C3270" s="166">
        <v>680</v>
      </c>
      <c r="D3270" s="166">
        <v>340</v>
      </c>
      <c r="E3270" s="166" t="s">
        <v>1108</v>
      </c>
      <c r="F3270" s="166">
        <v>1648.3206367924527</v>
      </c>
    </row>
    <row r="3271" spans="1:6">
      <c r="A3271" s="403">
        <v>6473</v>
      </c>
      <c r="B3271" s="403">
        <v>6</v>
      </c>
      <c r="C3271" s="166">
        <v>939</v>
      </c>
      <c r="D3271" s="166">
        <v>327</v>
      </c>
      <c r="E3271" s="166" t="s">
        <v>1108</v>
      </c>
      <c r="F3271" s="166">
        <v>1721.4764123611774</v>
      </c>
    </row>
    <row r="3272" spans="1:6">
      <c r="A3272" s="403">
        <v>6475</v>
      </c>
      <c r="B3272" s="403">
        <v>6</v>
      </c>
      <c r="C3272" s="166">
        <v>939</v>
      </c>
      <c r="D3272" s="166">
        <v>327</v>
      </c>
      <c r="E3272" s="166" t="s">
        <v>1108</v>
      </c>
      <c r="F3272" s="166">
        <v>1721.4764123611774</v>
      </c>
    </row>
    <row r="3273" spans="1:6">
      <c r="A3273" s="403">
        <v>6476</v>
      </c>
      <c r="B3273" s="403">
        <v>6</v>
      </c>
      <c r="C3273" s="166">
        <v>939</v>
      </c>
      <c r="D3273" s="166">
        <v>327</v>
      </c>
      <c r="E3273" s="166" t="s">
        <v>1108</v>
      </c>
      <c r="F3273" s="166">
        <v>1721.4764123611774</v>
      </c>
    </row>
    <row r="3274" spans="1:6">
      <c r="A3274" s="403">
        <v>6477</v>
      </c>
      <c r="B3274" s="403">
        <v>6</v>
      </c>
      <c r="C3274" s="166">
        <v>939</v>
      </c>
      <c r="D3274" s="166">
        <v>327</v>
      </c>
      <c r="E3274" s="166" t="s">
        <v>1108</v>
      </c>
      <c r="F3274" s="166">
        <v>1721.4764123611774</v>
      </c>
    </row>
    <row r="3275" spans="1:6">
      <c r="A3275" s="403">
        <v>6479</v>
      </c>
      <c r="B3275" s="403">
        <v>6</v>
      </c>
      <c r="C3275" s="166">
        <v>939</v>
      </c>
      <c r="D3275" s="166">
        <v>327</v>
      </c>
      <c r="E3275" s="166" t="s">
        <v>1108</v>
      </c>
      <c r="F3275" s="166">
        <v>1721.4764123611774</v>
      </c>
    </row>
    <row r="3276" spans="1:6">
      <c r="A3276" s="403">
        <v>6480</v>
      </c>
      <c r="B3276" s="403">
        <v>6</v>
      </c>
      <c r="C3276" s="166">
        <v>939</v>
      </c>
      <c r="D3276" s="166">
        <v>327</v>
      </c>
      <c r="E3276" s="166" t="s">
        <v>1108</v>
      </c>
      <c r="F3276" s="166">
        <v>1721.4764123611774</v>
      </c>
    </row>
    <row r="3277" spans="1:6">
      <c r="A3277" s="403">
        <v>6484</v>
      </c>
      <c r="B3277" s="403">
        <v>11</v>
      </c>
      <c r="C3277" s="166">
        <v>899</v>
      </c>
      <c r="D3277" s="166">
        <v>243</v>
      </c>
      <c r="E3277" s="166" t="s">
        <v>1108</v>
      </c>
      <c r="F3277" s="166">
        <v>2374.3539736346506</v>
      </c>
    </row>
    <row r="3278" spans="1:6">
      <c r="A3278" s="403">
        <v>6485</v>
      </c>
      <c r="B3278" s="403">
        <v>6</v>
      </c>
      <c r="C3278" s="166">
        <v>939</v>
      </c>
      <c r="D3278" s="166">
        <v>327</v>
      </c>
      <c r="E3278" s="166" t="s">
        <v>1108</v>
      </c>
      <c r="F3278" s="166">
        <v>1721.4764123611774</v>
      </c>
    </row>
    <row r="3279" spans="1:6">
      <c r="A3279" s="403">
        <v>6487</v>
      </c>
      <c r="B3279" s="403">
        <v>6</v>
      </c>
      <c r="C3279" s="166">
        <v>939</v>
      </c>
      <c r="D3279" s="166">
        <v>327</v>
      </c>
      <c r="E3279" s="166" t="s">
        <v>1108</v>
      </c>
      <c r="F3279" s="166">
        <v>1721.4764123611774</v>
      </c>
    </row>
    <row r="3280" spans="1:6">
      <c r="A3280" s="403">
        <v>6488</v>
      </c>
      <c r="B3280" s="403">
        <v>6</v>
      </c>
      <c r="C3280" s="166">
        <v>939</v>
      </c>
      <c r="D3280" s="166">
        <v>327</v>
      </c>
      <c r="E3280" s="166" t="s">
        <v>1108</v>
      </c>
      <c r="F3280" s="166">
        <v>1721.4764123611774</v>
      </c>
    </row>
    <row r="3281" spans="1:6">
      <c r="A3281" s="403">
        <v>6489</v>
      </c>
      <c r="B3281" s="403">
        <v>6</v>
      </c>
      <c r="C3281" s="166">
        <v>939</v>
      </c>
      <c r="D3281" s="166">
        <v>327</v>
      </c>
      <c r="E3281" s="166" t="s">
        <v>1108</v>
      </c>
      <c r="F3281" s="166">
        <v>1721.4764123611774</v>
      </c>
    </row>
    <row r="3282" spans="1:6">
      <c r="A3282" s="403">
        <v>6490</v>
      </c>
      <c r="B3282" s="403">
        <v>6</v>
      </c>
      <c r="C3282" s="166">
        <v>939</v>
      </c>
      <c r="D3282" s="166">
        <v>327</v>
      </c>
      <c r="E3282" s="166" t="s">
        <v>1108</v>
      </c>
      <c r="F3282" s="166">
        <v>1721.4764123611774</v>
      </c>
    </row>
    <row r="3283" spans="1:6">
      <c r="A3283" s="403">
        <v>6501</v>
      </c>
      <c r="B3283" s="403">
        <v>7</v>
      </c>
      <c r="C3283" s="166">
        <v>680</v>
      </c>
      <c r="D3283" s="166">
        <v>340</v>
      </c>
      <c r="E3283" s="166" t="s">
        <v>1108</v>
      </c>
      <c r="F3283" s="166">
        <v>1648.3206367924527</v>
      </c>
    </row>
    <row r="3284" spans="1:6">
      <c r="A3284" s="403">
        <v>6502</v>
      </c>
      <c r="B3284" s="403">
        <v>5</v>
      </c>
      <c r="C3284" s="166">
        <v>446</v>
      </c>
      <c r="D3284" s="166">
        <v>553</v>
      </c>
      <c r="E3284" s="166" t="s">
        <v>1108</v>
      </c>
      <c r="F3284" s="166">
        <v>2070.2584656084673</v>
      </c>
    </row>
    <row r="3285" spans="1:6">
      <c r="A3285" s="403">
        <v>6503</v>
      </c>
      <c r="B3285" s="403">
        <v>7</v>
      </c>
      <c r="C3285" s="166">
        <v>680</v>
      </c>
      <c r="D3285" s="166">
        <v>340</v>
      </c>
      <c r="E3285" s="166" t="s">
        <v>1108</v>
      </c>
      <c r="F3285" s="166">
        <v>1648.3206367924527</v>
      </c>
    </row>
    <row r="3286" spans="1:6">
      <c r="A3286" s="403">
        <v>6504</v>
      </c>
      <c r="B3286" s="403">
        <v>5</v>
      </c>
      <c r="C3286" s="166">
        <v>446</v>
      </c>
      <c r="D3286" s="166">
        <v>553</v>
      </c>
      <c r="E3286" s="166" t="s">
        <v>1108</v>
      </c>
      <c r="F3286" s="166">
        <v>2070.2584656084673</v>
      </c>
    </row>
    <row r="3287" spans="1:6">
      <c r="A3287" s="403">
        <v>6505</v>
      </c>
      <c r="B3287" s="403">
        <v>5</v>
      </c>
      <c r="C3287" s="166">
        <v>446</v>
      </c>
      <c r="D3287" s="166">
        <v>553</v>
      </c>
      <c r="E3287" s="166" t="s">
        <v>1108</v>
      </c>
      <c r="F3287" s="166">
        <v>2070.2584656084673</v>
      </c>
    </row>
    <row r="3288" spans="1:6">
      <c r="A3288" s="403">
        <v>6506</v>
      </c>
      <c r="B3288" s="403">
        <v>5</v>
      </c>
      <c r="C3288" s="166">
        <v>446</v>
      </c>
      <c r="D3288" s="166">
        <v>553</v>
      </c>
      <c r="E3288" s="166" t="s">
        <v>1108</v>
      </c>
      <c r="F3288" s="166">
        <v>2070.2584656084673</v>
      </c>
    </row>
    <row r="3289" spans="1:6">
      <c r="A3289" s="403">
        <v>6507</v>
      </c>
      <c r="B3289" s="403">
        <v>5</v>
      </c>
      <c r="C3289" s="166">
        <v>446</v>
      </c>
      <c r="D3289" s="166">
        <v>553</v>
      </c>
      <c r="E3289" s="166" t="s">
        <v>1108</v>
      </c>
      <c r="F3289" s="166">
        <v>2070.2584656084673</v>
      </c>
    </row>
    <row r="3290" spans="1:6">
      <c r="A3290" s="403">
        <v>6509</v>
      </c>
      <c r="B3290" s="403">
        <v>5</v>
      </c>
      <c r="C3290" s="166">
        <v>446</v>
      </c>
      <c r="D3290" s="166">
        <v>553</v>
      </c>
      <c r="E3290" s="166" t="s">
        <v>1108</v>
      </c>
      <c r="F3290" s="166">
        <v>2070.2584656084673</v>
      </c>
    </row>
    <row r="3291" spans="1:6">
      <c r="A3291" s="403">
        <v>6510</v>
      </c>
      <c r="B3291" s="403">
        <v>5</v>
      </c>
      <c r="C3291" s="166">
        <v>446</v>
      </c>
      <c r="D3291" s="166">
        <v>553</v>
      </c>
      <c r="E3291" s="166" t="s">
        <v>1108</v>
      </c>
      <c r="F3291" s="166">
        <v>2070.2584656084673</v>
      </c>
    </row>
    <row r="3292" spans="1:6">
      <c r="A3292" s="403">
        <v>6511</v>
      </c>
      <c r="B3292" s="403">
        <v>5</v>
      </c>
      <c r="C3292" s="166">
        <v>446</v>
      </c>
      <c r="D3292" s="166">
        <v>553</v>
      </c>
      <c r="E3292" s="166" t="s">
        <v>1108</v>
      </c>
      <c r="F3292" s="166">
        <v>2070.2584656084673</v>
      </c>
    </row>
    <row r="3293" spans="1:6">
      <c r="A3293" s="403">
        <v>6512</v>
      </c>
      <c r="B3293" s="403">
        <v>5</v>
      </c>
      <c r="C3293" s="166">
        <v>446</v>
      </c>
      <c r="D3293" s="166">
        <v>553</v>
      </c>
      <c r="E3293" s="166" t="s">
        <v>1108</v>
      </c>
      <c r="F3293" s="166">
        <v>2070.2584656084673</v>
      </c>
    </row>
    <row r="3294" spans="1:6">
      <c r="A3294" s="403">
        <v>6513</v>
      </c>
      <c r="B3294" s="403">
        <v>5</v>
      </c>
      <c r="C3294" s="166">
        <v>446</v>
      </c>
      <c r="D3294" s="166">
        <v>553</v>
      </c>
      <c r="E3294" s="166" t="s">
        <v>1108</v>
      </c>
      <c r="F3294" s="166">
        <v>2070.2584656084673</v>
      </c>
    </row>
    <row r="3295" spans="1:6">
      <c r="A3295" s="403">
        <v>6514</v>
      </c>
      <c r="B3295" s="403">
        <v>5</v>
      </c>
      <c r="C3295" s="166">
        <v>446</v>
      </c>
      <c r="D3295" s="166">
        <v>553</v>
      </c>
      <c r="E3295" s="166" t="s">
        <v>1108</v>
      </c>
      <c r="F3295" s="166">
        <v>2070.2584656084673</v>
      </c>
    </row>
    <row r="3296" spans="1:6">
      <c r="A3296" s="403">
        <v>6515</v>
      </c>
      <c r="B3296" s="403">
        <v>5</v>
      </c>
      <c r="C3296" s="166">
        <v>446</v>
      </c>
      <c r="D3296" s="166">
        <v>553</v>
      </c>
      <c r="E3296" s="166" t="s">
        <v>1108</v>
      </c>
      <c r="F3296" s="166">
        <v>2070.2584656084673</v>
      </c>
    </row>
    <row r="3297" spans="1:6">
      <c r="A3297" s="403">
        <v>6516</v>
      </c>
      <c r="B3297" s="403">
        <v>5</v>
      </c>
      <c r="C3297" s="166">
        <v>446</v>
      </c>
      <c r="D3297" s="166">
        <v>553</v>
      </c>
      <c r="E3297" s="166" t="s">
        <v>1108</v>
      </c>
      <c r="F3297" s="166">
        <v>2070.2584656084673</v>
      </c>
    </row>
    <row r="3298" spans="1:6">
      <c r="A3298" s="403">
        <v>6517</v>
      </c>
      <c r="B3298" s="403">
        <v>5</v>
      </c>
      <c r="C3298" s="166">
        <v>446</v>
      </c>
      <c r="D3298" s="166">
        <v>553</v>
      </c>
      <c r="E3298" s="166" t="s">
        <v>1108</v>
      </c>
      <c r="F3298" s="166">
        <v>2070.2584656084673</v>
      </c>
    </row>
    <row r="3299" spans="1:6">
      <c r="A3299" s="403">
        <v>6518</v>
      </c>
      <c r="B3299" s="403">
        <v>5</v>
      </c>
      <c r="C3299" s="166">
        <v>446</v>
      </c>
      <c r="D3299" s="166">
        <v>553</v>
      </c>
      <c r="E3299" s="166" t="s">
        <v>1108</v>
      </c>
      <c r="F3299" s="166">
        <v>2070.2584656084673</v>
      </c>
    </row>
    <row r="3300" spans="1:6">
      <c r="A3300" s="403">
        <v>6519</v>
      </c>
      <c r="B3300" s="403">
        <v>5</v>
      </c>
      <c r="C3300" s="166">
        <v>446</v>
      </c>
      <c r="D3300" s="166">
        <v>553</v>
      </c>
      <c r="E3300" s="166" t="s">
        <v>1108</v>
      </c>
      <c r="F3300" s="166">
        <v>2070.2584656084673</v>
      </c>
    </row>
    <row r="3301" spans="1:6">
      <c r="A3301" s="403">
        <v>6521</v>
      </c>
      <c r="B3301" s="403">
        <v>5</v>
      </c>
      <c r="C3301" s="166">
        <v>446</v>
      </c>
      <c r="D3301" s="166">
        <v>553</v>
      </c>
      <c r="E3301" s="166" t="s">
        <v>1108</v>
      </c>
      <c r="F3301" s="166">
        <v>2070.2584656084673</v>
      </c>
    </row>
    <row r="3302" spans="1:6">
      <c r="A3302" s="403">
        <v>6522</v>
      </c>
      <c r="B3302" s="403">
        <v>5</v>
      </c>
      <c r="C3302" s="166">
        <v>446</v>
      </c>
      <c r="D3302" s="166">
        <v>553</v>
      </c>
      <c r="E3302" s="166" t="s">
        <v>1108</v>
      </c>
      <c r="F3302" s="166">
        <v>2070.2584656084673</v>
      </c>
    </row>
    <row r="3303" spans="1:6">
      <c r="A3303" s="403">
        <v>6525</v>
      </c>
      <c r="B3303" s="403">
        <v>5</v>
      </c>
      <c r="C3303" s="166">
        <v>446</v>
      </c>
      <c r="D3303" s="166">
        <v>553</v>
      </c>
      <c r="E3303" s="166" t="s">
        <v>1108</v>
      </c>
      <c r="F3303" s="166">
        <v>2070.2584656084673</v>
      </c>
    </row>
    <row r="3304" spans="1:6">
      <c r="A3304" s="403">
        <v>6528</v>
      </c>
      <c r="B3304" s="403">
        <v>5</v>
      </c>
      <c r="C3304" s="166">
        <v>446</v>
      </c>
      <c r="D3304" s="166">
        <v>553</v>
      </c>
      <c r="E3304" s="166" t="s">
        <v>1108</v>
      </c>
      <c r="F3304" s="166">
        <v>2070.2584656084673</v>
      </c>
    </row>
    <row r="3305" spans="1:6">
      <c r="A3305" s="403">
        <v>6530</v>
      </c>
      <c r="B3305" s="403">
        <v>5</v>
      </c>
      <c r="C3305" s="166">
        <v>446</v>
      </c>
      <c r="D3305" s="166">
        <v>553</v>
      </c>
      <c r="E3305" s="166" t="s">
        <v>1108</v>
      </c>
      <c r="F3305" s="166">
        <v>2070.2584656084673</v>
      </c>
    </row>
    <row r="3306" spans="1:6">
      <c r="A3306" s="403">
        <v>6531</v>
      </c>
      <c r="B3306" s="403">
        <v>5</v>
      </c>
      <c r="C3306" s="166">
        <v>446</v>
      </c>
      <c r="D3306" s="166">
        <v>553</v>
      </c>
      <c r="E3306" s="166" t="s">
        <v>1108</v>
      </c>
      <c r="F3306" s="166">
        <v>2070.2584656084673</v>
      </c>
    </row>
    <row r="3307" spans="1:6">
      <c r="A3307" s="403">
        <v>6532</v>
      </c>
      <c r="B3307" s="403">
        <v>5</v>
      </c>
      <c r="C3307" s="166">
        <v>446</v>
      </c>
      <c r="D3307" s="166">
        <v>553</v>
      </c>
      <c r="E3307" s="166" t="s">
        <v>1108</v>
      </c>
      <c r="F3307" s="166">
        <v>2070.2584656084673</v>
      </c>
    </row>
    <row r="3308" spans="1:6">
      <c r="A3308" s="403">
        <v>6535</v>
      </c>
      <c r="B3308" s="403">
        <v>5</v>
      </c>
      <c r="C3308" s="166">
        <v>446</v>
      </c>
      <c r="D3308" s="166">
        <v>553</v>
      </c>
      <c r="E3308" s="166" t="s">
        <v>1108</v>
      </c>
      <c r="F3308" s="166">
        <v>2070.2584656084673</v>
      </c>
    </row>
    <row r="3309" spans="1:6">
      <c r="A3309" s="403">
        <v>6536</v>
      </c>
      <c r="B3309" s="403">
        <v>5</v>
      </c>
      <c r="C3309" s="166">
        <v>446</v>
      </c>
      <c r="D3309" s="166">
        <v>553</v>
      </c>
      <c r="E3309" s="166" t="s">
        <v>1108</v>
      </c>
      <c r="F3309" s="166">
        <v>2070.2584656084673</v>
      </c>
    </row>
    <row r="3310" spans="1:6">
      <c r="A3310" s="403">
        <v>6537</v>
      </c>
      <c r="B3310" s="403">
        <v>3</v>
      </c>
      <c r="C3310" s="166">
        <v>159</v>
      </c>
      <c r="D3310" s="166">
        <v>1001</v>
      </c>
      <c r="E3310" s="166" t="s">
        <v>1108</v>
      </c>
      <c r="F3310" s="166">
        <v>3237.6278086956504</v>
      </c>
    </row>
    <row r="3311" spans="1:6">
      <c r="A3311" s="403">
        <v>6556</v>
      </c>
      <c r="B3311" s="403">
        <v>7</v>
      </c>
      <c r="C3311" s="166">
        <v>680</v>
      </c>
      <c r="D3311" s="166">
        <v>340</v>
      </c>
      <c r="E3311" s="166" t="s">
        <v>1108</v>
      </c>
      <c r="F3311" s="166">
        <v>1648.3206367924527</v>
      </c>
    </row>
    <row r="3312" spans="1:6">
      <c r="A3312" s="403">
        <v>6558</v>
      </c>
      <c r="B3312" s="403">
        <v>7</v>
      </c>
      <c r="C3312" s="166">
        <v>680</v>
      </c>
      <c r="D3312" s="166">
        <v>340</v>
      </c>
      <c r="E3312" s="166" t="s">
        <v>1108</v>
      </c>
      <c r="F3312" s="166">
        <v>1648.3206367924527</v>
      </c>
    </row>
    <row r="3313" spans="1:6">
      <c r="A3313" s="403">
        <v>6560</v>
      </c>
      <c r="B3313" s="403">
        <v>7</v>
      </c>
      <c r="C3313" s="166">
        <v>680</v>
      </c>
      <c r="D3313" s="166">
        <v>340</v>
      </c>
      <c r="E3313" s="166" t="s">
        <v>1108</v>
      </c>
      <c r="F3313" s="166">
        <v>1648.3206367924527</v>
      </c>
    </row>
    <row r="3314" spans="1:6">
      <c r="A3314" s="403">
        <v>6562</v>
      </c>
      <c r="B3314" s="403">
        <v>7</v>
      </c>
      <c r="C3314" s="166">
        <v>680</v>
      </c>
      <c r="D3314" s="166">
        <v>340</v>
      </c>
      <c r="E3314" s="166" t="s">
        <v>1108</v>
      </c>
      <c r="F3314" s="166">
        <v>1648.3206367924527</v>
      </c>
    </row>
    <row r="3315" spans="1:6">
      <c r="A3315" s="403">
        <v>6564</v>
      </c>
      <c r="B3315" s="403">
        <v>7</v>
      </c>
      <c r="C3315" s="166">
        <v>680</v>
      </c>
      <c r="D3315" s="166">
        <v>340</v>
      </c>
      <c r="E3315" s="166" t="s">
        <v>1108</v>
      </c>
      <c r="F3315" s="166">
        <v>1648.3206367924527</v>
      </c>
    </row>
    <row r="3316" spans="1:6">
      <c r="A3316" s="403">
        <v>6566</v>
      </c>
      <c r="B3316" s="403">
        <v>7</v>
      </c>
      <c r="C3316" s="166">
        <v>680</v>
      </c>
      <c r="D3316" s="166">
        <v>340</v>
      </c>
      <c r="E3316" s="166" t="s">
        <v>1108</v>
      </c>
      <c r="F3316" s="166">
        <v>1648.3206367924527</v>
      </c>
    </row>
    <row r="3317" spans="1:6">
      <c r="A3317" s="403">
        <v>6567</v>
      </c>
      <c r="B3317" s="403">
        <v>7</v>
      </c>
      <c r="C3317" s="166">
        <v>680</v>
      </c>
      <c r="D3317" s="166">
        <v>340</v>
      </c>
      <c r="E3317" s="166" t="s">
        <v>1108</v>
      </c>
      <c r="F3317" s="166">
        <v>1648.3206367924527</v>
      </c>
    </row>
    <row r="3318" spans="1:6">
      <c r="A3318" s="403">
        <v>6568</v>
      </c>
      <c r="B3318" s="403">
        <v>7</v>
      </c>
      <c r="C3318" s="166">
        <v>680</v>
      </c>
      <c r="D3318" s="166">
        <v>340</v>
      </c>
      <c r="E3318" s="166" t="s">
        <v>1108</v>
      </c>
      <c r="F3318" s="166">
        <v>1648.3206367924527</v>
      </c>
    </row>
    <row r="3319" spans="1:6">
      <c r="A3319" s="403">
        <v>6569</v>
      </c>
      <c r="B3319" s="403">
        <v>7</v>
      </c>
      <c r="C3319" s="166">
        <v>680</v>
      </c>
      <c r="D3319" s="166">
        <v>340</v>
      </c>
      <c r="E3319" s="166" t="s">
        <v>1108</v>
      </c>
      <c r="F3319" s="166">
        <v>1648.3206367924527</v>
      </c>
    </row>
    <row r="3320" spans="1:6">
      <c r="A3320" s="403">
        <v>6571</v>
      </c>
      <c r="B3320" s="403">
        <v>7</v>
      </c>
      <c r="C3320" s="166">
        <v>680</v>
      </c>
      <c r="D3320" s="166">
        <v>340</v>
      </c>
      <c r="E3320" s="166" t="s">
        <v>1108</v>
      </c>
      <c r="F3320" s="166">
        <v>1648.3206367924527</v>
      </c>
    </row>
    <row r="3321" spans="1:6">
      <c r="A3321" s="403">
        <v>6572</v>
      </c>
      <c r="B3321" s="403">
        <v>7</v>
      </c>
      <c r="C3321" s="166">
        <v>680</v>
      </c>
      <c r="D3321" s="166">
        <v>340</v>
      </c>
      <c r="E3321" s="166" t="s">
        <v>1108</v>
      </c>
      <c r="F3321" s="166">
        <v>1648.3206367924527</v>
      </c>
    </row>
    <row r="3322" spans="1:6">
      <c r="A3322" s="403">
        <v>6574</v>
      </c>
      <c r="B3322" s="403">
        <v>5</v>
      </c>
      <c r="C3322" s="166">
        <v>446</v>
      </c>
      <c r="D3322" s="166">
        <v>553</v>
      </c>
      <c r="E3322" s="166" t="s">
        <v>1108</v>
      </c>
      <c r="F3322" s="166">
        <v>2070.2584656084673</v>
      </c>
    </row>
    <row r="3323" spans="1:6">
      <c r="A3323" s="403">
        <v>6575</v>
      </c>
      <c r="B3323" s="403">
        <v>5</v>
      </c>
      <c r="C3323" s="166">
        <v>446</v>
      </c>
      <c r="D3323" s="166">
        <v>553</v>
      </c>
      <c r="E3323" s="166" t="s">
        <v>1108</v>
      </c>
      <c r="F3323" s="166">
        <v>2070.2584656084673</v>
      </c>
    </row>
    <row r="3324" spans="1:6">
      <c r="A3324" s="403">
        <v>6603</v>
      </c>
      <c r="B3324" s="403">
        <v>5</v>
      </c>
      <c r="C3324" s="166">
        <v>446</v>
      </c>
      <c r="D3324" s="166">
        <v>553</v>
      </c>
      <c r="E3324" s="166" t="s">
        <v>1108</v>
      </c>
      <c r="F3324" s="166">
        <v>2070.2584656084673</v>
      </c>
    </row>
    <row r="3325" spans="1:6">
      <c r="A3325" s="403">
        <v>6605</v>
      </c>
      <c r="B3325" s="403">
        <v>5</v>
      </c>
      <c r="C3325" s="166">
        <v>446</v>
      </c>
      <c r="D3325" s="166">
        <v>553</v>
      </c>
      <c r="E3325" s="166" t="s">
        <v>1108</v>
      </c>
      <c r="F3325" s="166">
        <v>2070.2584656084673</v>
      </c>
    </row>
    <row r="3326" spans="1:6">
      <c r="A3326" s="403">
        <v>6606</v>
      </c>
      <c r="B3326" s="403">
        <v>5</v>
      </c>
      <c r="C3326" s="166">
        <v>446</v>
      </c>
      <c r="D3326" s="166">
        <v>553</v>
      </c>
      <c r="E3326" s="166" t="s">
        <v>1108</v>
      </c>
      <c r="F3326" s="166">
        <v>2070.2584656084673</v>
      </c>
    </row>
    <row r="3327" spans="1:6">
      <c r="A3327" s="403">
        <v>6608</v>
      </c>
      <c r="B3327" s="403">
        <v>5</v>
      </c>
      <c r="C3327" s="166">
        <v>446</v>
      </c>
      <c r="D3327" s="166">
        <v>553</v>
      </c>
      <c r="E3327" s="166" t="s">
        <v>1108</v>
      </c>
      <c r="F3327" s="166">
        <v>2070.2584656084673</v>
      </c>
    </row>
    <row r="3328" spans="1:6">
      <c r="A3328" s="403">
        <v>6609</v>
      </c>
      <c r="B3328" s="403">
        <v>5</v>
      </c>
      <c r="C3328" s="166">
        <v>446</v>
      </c>
      <c r="D3328" s="166">
        <v>553</v>
      </c>
      <c r="E3328" s="166" t="s">
        <v>1108</v>
      </c>
      <c r="F3328" s="166">
        <v>2070.2584656084673</v>
      </c>
    </row>
    <row r="3329" spans="1:6">
      <c r="A3329" s="403">
        <v>6612</v>
      </c>
      <c r="B3329" s="403">
        <v>5</v>
      </c>
      <c r="C3329" s="166">
        <v>446</v>
      </c>
      <c r="D3329" s="166">
        <v>553</v>
      </c>
      <c r="E3329" s="166" t="s">
        <v>1108</v>
      </c>
      <c r="F3329" s="166">
        <v>2070.2584656084673</v>
      </c>
    </row>
    <row r="3330" spans="1:6">
      <c r="A3330" s="403">
        <v>6613</v>
      </c>
      <c r="B3330" s="403">
        <v>5</v>
      </c>
      <c r="C3330" s="166">
        <v>446</v>
      </c>
      <c r="D3330" s="166">
        <v>553</v>
      </c>
      <c r="E3330" s="166" t="s">
        <v>1108</v>
      </c>
      <c r="F3330" s="166">
        <v>2070.2584656084673</v>
      </c>
    </row>
    <row r="3331" spans="1:6">
      <c r="A3331" s="403">
        <v>6614</v>
      </c>
      <c r="B3331" s="403">
        <v>5</v>
      </c>
      <c r="C3331" s="166">
        <v>446</v>
      </c>
      <c r="D3331" s="166">
        <v>553</v>
      </c>
      <c r="E3331" s="166" t="s">
        <v>1108</v>
      </c>
      <c r="F3331" s="166">
        <v>2070.2584656084673</v>
      </c>
    </row>
    <row r="3332" spans="1:6">
      <c r="A3332" s="403">
        <v>6616</v>
      </c>
      <c r="B3332" s="403">
        <v>5</v>
      </c>
      <c r="C3332" s="166">
        <v>446</v>
      </c>
      <c r="D3332" s="166">
        <v>553</v>
      </c>
      <c r="E3332" s="166" t="s">
        <v>1108</v>
      </c>
      <c r="F3332" s="166">
        <v>2070.2584656084673</v>
      </c>
    </row>
    <row r="3333" spans="1:6">
      <c r="A3333" s="403">
        <v>6618</v>
      </c>
      <c r="B3333" s="403">
        <v>5</v>
      </c>
      <c r="C3333" s="166">
        <v>446</v>
      </c>
      <c r="D3333" s="166">
        <v>553</v>
      </c>
      <c r="E3333" s="166" t="s">
        <v>1108</v>
      </c>
      <c r="F3333" s="166">
        <v>2070.2584656084673</v>
      </c>
    </row>
    <row r="3334" spans="1:6">
      <c r="A3334" s="403">
        <v>6620</v>
      </c>
      <c r="B3334" s="403">
        <v>5</v>
      </c>
      <c r="C3334" s="166">
        <v>446</v>
      </c>
      <c r="D3334" s="166">
        <v>553</v>
      </c>
      <c r="E3334" s="166" t="s">
        <v>1108</v>
      </c>
      <c r="F3334" s="166">
        <v>2070.2584656084673</v>
      </c>
    </row>
    <row r="3335" spans="1:6">
      <c r="A3335" s="403">
        <v>6623</v>
      </c>
      <c r="B3335" s="403">
        <v>5</v>
      </c>
      <c r="C3335" s="166">
        <v>446</v>
      </c>
      <c r="D3335" s="166">
        <v>553</v>
      </c>
      <c r="E3335" s="166" t="s">
        <v>1108</v>
      </c>
      <c r="F3335" s="166">
        <v>2070.2584656084673</v>
      </c>
    </row>
    <row r="3336" spans="1:6">
      <c r="A3336" s="403">
        <v>6625</v>
      </c>
      <c r="B3336" s="403">
        <v>5</v>
      </c>
      <c r="C3336" s="166">
        <v>446</v>
      </c>
      <c r="D3336" s="166">
        <v>553</v>
      </c>
      <c r="E3336" s="166" t="s">
        <v>1108</v>
      </c>
      <c r="F3336" s="166">
        <v>2070.2584656084673</v>
      </c>
    </row>
    <row r="3337" spans="1:6">
      <c r="A3337" s="403">
        <v>6627</v>
      </c>
      <c r="B3337" s="403">
        <v>5</v>
      </c>
      <c r="C3337" s="166">
        <v>446</v>
      </c>
      <c r="D3337" s="166">
        <v>553</v>
      </c>
      <c r="E3337" s="166" t="s">
        <v>1108</v>
      </c>
      <c r="F3337" s="166">
        <v>2070.2584656084673</v>
      </c>
    </row>
    <row r="3338" spans="1:6">
      <c r="A3338" s="403">
        <v>6628</v>
      </c>
      <c r="B3338" s="403">
        <v>5</v>
      </c>
      <c r="C3338" s="166">
        <v>446</v>
      </c>
      <c r="D3338" s="166">
        <v>553</v>
      </c>
      <c r="E3338" s="166" t="s">
        <v>1108</v>
      </c>
      <c r="F3338" s="166">
        <v>2070.2584656084673</v>
      </c>
    </row>
    <row r="3339" spans="1:6">
      <c r="A3339" s="403">
        <v>6630</v>
      </c>
      <c r="B3339" s="403">
        <v>5</v>
      </c>
      <c r="C3339" s="166">
        <v>446</v>
      </c>
      <c r="D3339" s="166">
        <v>553</v>
      </c>
      <c r="E3339" s="166" t="s">
        <v>1108</v>
      </c>
      <c r="F3339" s="166">
        <v>2070.2584656084673</v>
      </c>
    </row>
    <row r="3340" spans="1:6">
      <c r="A3340" s="403">
        <v>6631</v>
      </c>
      <c r="B3340" s="403">
        <v>5</v>
      </c>
      <c r="C3340" s="166">
        <v>446</v>
      </c>
      <c r="D3340" s="166">
        <v>553</v>
      </c>
      <c r="E3340" s="166" t="s">
        <v>1108</v>
      </c>
      <c r="F3340" s="166">
        <v>2070.2584656084673</v>
      </c>
    </row>
    <row r="3341" spans="1:6">
      <c r="A3341" s="403">
        <v>6632</v>
      </c>
      <c r="B3341" s="403">
        <v>5</v>
      </c>
      <c r="C3341" s="166">
        <v>446</v>
      </c>
      <c r="D3341" s="166">
        <v>553</v>
      </c>
      <c r="E3341" s="166" t="s">
        <v>1108</v>
      </c>
      <c r="F3341" s="166">
        <v>2070.2584656084673</v>
      </c>
    </row>
    <row r="3342" spans="1:6">
      <c r="A3342" s="403">
        <v>6635</v>
      </c>
      <c r="B3342" s="403">
        <v>5</v>
      </c>
      <c r="C3342" s="166">
        <v>446</v>
      </c>
      <c r="D3342" s="166">
        <v>553</v>
      </c>
      <c r="E3342" s="166" t="s">
        <v>1108</v>
      </c>
      <c r="F3342" s="166">
        <v>2070.2584656084673</v>
      </c>
    </row>
    <row r="3343" spans="1:6">
      <c r="A3343" s="403">
        <v>6638</v>
      </c>
      <c r="B3343" s="403">
        <v>3</v>
      </c>
      <c r="C3343" s="166">
        <v>159</v>
      </c>
      <c r="D3343" s="166">
        <v>1001</v>
      </c>
      <c r="E3343" s="166" t="s">
        <v>1108</v>
      </c>
      <c r="F3343" s="166">
        <v>3237.6278086956504</v>
      </c>
    </row>
    <row r="3344" spans="1:6">
      <c r="A3344" s="403">
        <v>6639</v>
      </c>
      <c r="B3344" s="403">
        <v>3</v>
      </c>
      <c r="C3344" s="166">
        <v>159</v>
      </c>
      <c r="D3344" s="166">
        <v>1001</v>
      </c>
      <c r="E3344" s="166" t="s">
        <v>1108</v>
      </c>
      <c r="F3344" s="166">
        <v>3237.6278086956504</v>
      </c>
    </row>
    <row r="3345" spans="1:6">
      <c r="A3345" s="403">
        <v>6640</v>
      </c>
      <c r="B3345" s="403">
        <v>3</v>
      </c>
      <c r="C3345" s="166">
        <v>159</v>
      </c>
      <c r="D3345" s="166">
        <v>1001</v>
      </c>
      <c r="E3345" s="166" t="s">
        <v>1108</v>
      </c>
      <c r="F3345" s="166">
        <v>3237.6278086956504</v>
      </c>
    </row>
    <row r="3346" spans="1:6">
      <c r="A3346" s="403">
        <v>6642</v>
      </c>
      <c r="B3346" s="403">
        <v>3</v>
      </c>
      <c r="C3346" s="166">
        <v>159</v>
      </c>
      <c r="D3346" s="166">
        <v>1001</v>
      </c>
      <c r="E3346" s="166" t="s">
        <v>1108</v>
      </c>
      <c r="F3346" s="166">
        <v>3237.6278086956504</v>
      </c>
    </row>
    <row r="3347" spans="1:6">
      <c r="A3347" s="403">
        <v>6646</v>
      </c>
      <c r="B3347" s="403">
        <v>11</v>
      </c>
      <c r="C3347" s="166">
        <v>899</v>
      </c>
      <c r="D3347" s="166">
        <v>243</v>
      </c>
      <c r="E3347" s="166" t="s">
        <v>1108</v>
      </c>
      <c r="F3347" s="166">
        <v>2374.3539736346506</v>
      </c>
    </row>
    <row r="3348" spans="1:6">
      <c r="A3348" s="403">
        <v>6701</v>
      </c>
      <c r="B3348" s="403">
        <v>3</v>
      </c>
      <c r="C3348" s="166">
        <v>159</v>
      </c>
      <c r="D3348" s="166">
        <v>1001</v>
      </c>
      <c r="E3348" s="166" t="s">
        <v>1108</v>
      </c>
      <c r="F3348" s="166">
        <v>3237.6278086956504</v>
      </c>
    </row>
    <row r="3349" spans="1:6">
      <c r="A3349" s="403">
        <v>6705</v>
      </c>
      <c r="B3349" s="403">
        <v>3</v>
      </c>
      <c r="C3349" s="166">
        <v>159</v>
      </c>
      <c r="D3349" s="166">
        <v>1001</v>
      </c>
      <c r="E3349" s="166" t="s">
        <v>1108</v>
      </c>
      <c r="F3349" s="166">
        <v>3237.6278086956504</v>
      </c>
    </row>
    <row r="3350" spans="1:6">
      <c r="A3350" s="403">
        <v>6707</v>
      </c>
      <c r="B3350" s="403">
        <v>2</v>
      </c>
      <c r="C3350" s="166">
        <v>27</v>
      </c>
      <c r="D3350" s="166">
        <v>1782</v>
      </c>
      <c r="E3350" s="166" t="s">
        <v>1108</v>
      </c>
      <c r="F3350" s="166">
        <v>3003.0973913043467</v>
      </c>
    </row>
    <row r="3351" spans="1:6">
      <c r="A3351" s="403">
        <v>6710</v>
      </c>
      <c r="B3351" s="403">
        <v>2</v>
      </c>
      <c r="C3351" s="166">
        <v>27</v>
      </c>
      <c r="D3351" s="166">
        <v>1782</v>
      </c>
      <c r="E3351" s="166" t="s">
        <v>1108</v>
      </c>
      <c r="F3351" s="166">
        <v>3003.0973913043467</v>
      </c>
    </row>
    <row r="3352" spans="1:6">
      <c r="A3352" s="403">
        <v>6711</v>
      </c>
      <c r="B3352" s="403">
        <v>2</v>
      </c>
      <c r="C3352" s="166">
        <v>27</v>
      </c>
      <c r="D3352" s="166">
        <v>1782</v>
      </c>
      <c r="E3352" s="166" t="s">
        <v>1108</v>
      </c>
      <c r="F3352" s="166">
        <v>3003.0973913043467</v>
      </c>
    </row>
    <row r="3353" spans="1:6">
      <c r="A3353" s="403">
        <v>6712</v>
      </c>
      <c r="B3353" s="403">
        <v>2</v>
      </c>
      <c r="C3353" s="166">
        <v>27</v>
      </c>
      <c r="D3353" s="166">
        <v>1782</v>
      </c>
      <c r="E3353" s="166" t="s">
        <v>1108</v>
      </c>
      <c r="F3353" s="166">
        <v>3003.0973913043467</v>
      </c>
    </row>
    <row r="3354" spans="1:6">
      <c r="A3354" s="403">
        <v>6713</v>
      </c>
      <c r="B3354" s="403">
        <v>2</v>
      </c>
      <c r="C3354" s="166">
        <v>27</v>
      </c>
      <c r="D3354" s="166">
        <v>1782</v>
      </c>
      <c r="E3354" s="166" t="s">
        <v>1108</v>
      </c>
      <c r="F3354" s="166">
        <v>3003.0973913043467</v>
      </c>
    </row>
    <row r="3355" spans="1:6">
      <c r="A3355" s="403">
        <v>6714</v>
      </c>
      <c r="B3355" s="403">
        <v>2</v>
      </c>
      <c r="C3355" s="166">
        <v>27</v>
      </c>
      <c r="D3355" s="166">
        <v>1782</v>
      </c>
      <c r="E3355" s="166" t="s">
        <v>1108</v>
      </c>
      <c r="F3355" s="166">
        <v>3003.0973913043467</v>
      </c>
    </row>
    <row r="3356" spans="1:6">
      <c r="A3356" s="403">
        <v>6715</v>
      </c>
      <c r="B3356" s="403">
        <v>2</v>
      </c>
      <c r="C3356" s="166">
        <v>27</v>
      </c>
      <c r="D3356" s="166">
        <v>1782</v>
      </c>
      <c r="E3356" s="166" t="s">
        <v>1108</v>
      </c>
      <c r="F3356" s="166">
        <v>3003.0973913043467</v>
      </c>
    </row>
    <row r="3357" spans="1:6">
      <c r="A3357" s="403">
        <v>6716</v>
      </c>
      <c r="B3357" s="403">
        <v>2</v>
      </c>
      <c r="C3357" s="166">
        <v>27</v>
      </c>
      <c r="D3357" s="166">
        <v>1782</v>
      </c>
      <c r="E3357" s="166" t="s">
        <v>1108</v>
      </c>
      <c r="F3357" s="166">
        <v>3003.0973913043467</v>
      </c>
    </row>
    <row r="3358" spans="1:6">
      <c r="A3358" s="403">
        <v>6718</v>
      </c>
      <c r="B3358" s="403">
        <v>2</v>
      </c>
      <c r="C3358" s="166">
        <v>27</v>
      </c>
      <c r="D3358" s="166">
        <v>1782</v>
      </c>
      <c r="E3358" s="166" t="s">
        <v>1108</v>
      </c>
      <c r="F3358" s="166">
        <v>3003.0973913043467</v>
      </c>
    </row>
    <row r="3359" spans="1:6">
      <c r="A3359" s="403">
        <v>6720</v>
      </c>
      <c r="B3359" s="403">
        <v>2</v>
      </c>
      <c r="C3359" s="166">
        <v>27</v>
      </c>
      <c r="D3359" s="166">
        <v>1782</v>
      </c>
      <c r="E3359" s="166" t="s">
        <v>1108</v>
      </c>
      <c r="F3359" s="166">
        <v>3003.0973913043467</v>
      </c>
    </row>
    <row r="3360" spans="1:6">
      <c r="A3360" s="403">
        <v>6721</v>
      </c>
      <c r="B3360" s="403">
        <v>2</v>
      </c>
      <c r="C3360" s="166">
        <v>27</v>
      </c>
      <c r="D3360" s="166">
        <v>1782</v>
      </c>
      <c r="E3360" s="166" t="s">
        <v>1108</v>
      </c>
      <c r="F3360" s="166">
        <v>3003.0973913043467</v>
      </c>
    </row>
    <row r="3361" spans="1:6">
      <c r="A3361" s="403">
        <v>6722</v>
      </c>
      <c r="B3361" s="403">
        <v>2</v>
      </c>
      <c r="C3361" s="166">
        <v>27</v>
      </c>
      <c r="D3361" s="166">
        <v>1782</v>
      </c>
      <c r="E3361" s="166" t="s">
        <v>1108</v>
      </c>
      <c r="F3361" s="166">
        <v>3003.0973913043467</v>
      </c>
    </row>
    <row r="3362" spans="1:6">
      <c r="A3362" s="403">
        <v>6723</v>
      </c>
      <c r="B3362" s="403">
        <v>2</v>
      </c>
      <c r="C3362" s="166">
        <v>27</v>
      </c>
      <c r="D3362" s="166">
        <v>1782</v>
      </c>
      <c r="E3362" s="166" t="s">
        <v>1108</v>
      </c>
      <c r="F3362" s="166">
        <v>3003.0973913043467</v>
      </c>
    </row>
    <row r="3363" spans="1:6">
      <c r="A3363" s="403">
        <v>6725</v>
      </c>
      <c r="B3363" s="403">
        <v>1</v>
      </c>
      <c r="C3363" s="166">
        <v>6</v>
      </c>
      <c r="D3363" s="166">
        <v>2016</v>
      </c>
      <c r="E3363" s="166" t="s">
        <v>1108</v>
      </c>
      <c r="F3363" s="166">
        <v>2352.9332374928122</v>
      </c>
    </row>
    <row r="3364" spans="1:6">
      <c r="A3364" s="403">
        <v>6726</v>
      </c>
      <c r="B3364" s="403">
        <v>1</v>
      </c>
      <c r="C3364" s="166">
        <v>6</v>
      </c>
      <c r="D3364" s="166">
        <v>2016</v>
      </c>
      <c r="E3364" s="166" t="s">
        <v>1108</v>
      </c>
      <c r="F3364" s="166">
        <v>2352.9332374928122</v>
      </c>
    </row>
    <row r="3365" spans="1:6">
      <c r="A3365" s="403">
        <v>6728</v>
      </c>
      <c r="B3365" s="403">
        <v>1</v>
      </c>
      <c r="C3365" s="166">
        <v>6</v>
      </c>
      <c r="D3365" s="166">
        <v>2016</v>
      </c>
      <c r="E3365" s="166" t="s">
        <v>1108</v>
      </c>
      <c r="F3365" s="166">
        <v>2352.9332374928122</v>
      </c>
    </row>
    <row r="3366" spans="1:6">
      <c r="A3366" s="403">
        <v>6731</v>
      </c>
      <c r="B3366" s="403">
        <v>1</v>
      </c>
      <c r="C3366" s="166">
        <v>6</v>
      </c>
      <c r="D3366" s="166">
        <v>2016</v>
      </c>
      <c r="E3366" s="166" t="s">
        <v>1108</v>
      </c>
      <c r="F3366" s="166">
        <v>2352.9332374928122</v>
      </c>
    </row>
    <row r="3367" spans="1:6">
      <c r="A3367" s="403">
        <v>6733</v>
      </c>
      <c r="B3367" s="403">
        <v>1</v>
      </c>
      <c r="C3367" s="166">
        <v>6</v>
      </c>
      <c r="D3367" s="166">
        <v>2016</v>
      </c>
      <c r="E3367" s="166" t="s">
        <v>1108</v>
      </c>
      <c r="F3367" s="166">
        <v>2352.9332374928122</v>
      </c>
    </row>
    <row r="3368" spans="1:6">
      <c r="A3368" s="403">
        <v>6740</v>
      </c>
      <c r="B3368" s="403">
        <v>1</v>
      </c>
      <c r="C3368" s="166">
        <v>6</v>
      </c>
      <c r="D3368" s="166">
        <v>2016</v>
      </c>
      <c r="E3368" s="166" t="s">
        <v>1108</v>
      </c>
      <c r="F3368" s="166">
        <v>2352.9332374928122</v>
      </c>
    </row>
    <row r="3369" spans="1:6">
      <c r="A3369" s="403">
        <v>6743</v>
      </c>
      <c r="B3369" s="403">
        <v>1</v>
      </c>
      <c r="C3369" s="166">
        <v>6</v>
      </c>
      <c r="D3369" s="166">
        <v>2016</v>
      </c>
      <c r="E3369" s="166" t="s">
        <v>1108</v>
      </c>
      <c r="F3369" s="166">
        <v>2352.9332374928122</v>
      </c>
    </row>
    <row r="3370" spans="1:6">
      <c r="A3370" s="403">
        <v>6751</v>
      </c>
      <c r="B3370" s="403">
        <v>2</v>
      </c>
      <c r="C3370" s="166">
        <v>27</v>
      </c>
      <c r="D3370" s="166">
        <v>1782</v>
      </c>
      <c r="E3370" s="166" t="s">
        <v>1108</v>
      </c>
      <c r="F3370" s="166">
        <v>3003.0973913043467</v>
      </c>
    </row>
    <row r="3371" spans="1:6">
      <c r="A3371" s="403">
        <v>6753</v>
      </c>
      <c r="B3371" s="403">
        <v>2</v>
      </c>
      <c r="C3371" s="166">
        <v>27</v>
      </c>
      <c r="D3371" s="166">
        <v>1782</v>
      </c>
      <c r="E3371" s="166" t="s">
        <v>1108</v>
      </c>
      <c r="F3371" s="166">
        <v>3003.0973913043467</v>
      </c>
    </row>
    <row r="3372" spans="1:6">
      <c r="A3372" s="403">
        <v>6754</v>
      </c>
      <c r="B3372" s="403">
        <v>2</v>
      </c>
      <c r="C3372" s="166">
        <v>27</v>
      </c>
      <c r="D3372" s="166">
        <v>1782</v>
      </c>
      <c r="E3372" s="166" t="s">
        <v>1108</v>
      </c>
      <c r="F3372" s="166">
        <v>3003.0973913043467</v>
      </c>
    </row>
    <row r="3373" spans="1:6">
      <c r="A3373" s="403">
        <v>6758</v>
      </c>
      <c r="B3373" s="403">
        <v>2</v>
      </c>
      <c r="C3373" s="166">
        <v>27</v>
      </c>
      <c r="D3373" s="166">
        <v>1782</v>
      </c>
      <c r="E3373" s="166" t="s">
        <v>1108</v>
      </c>
      <c r="F3373" s="166">
        <v>3003.0973913043467</v>
      </c>
    </row>
    <row r="3374" spans="1:6">
      <c r="A3374" s="403">
        <v>6760</v>
      </c>
      <c r="B3374" s="403">
        <v>2</v>
      </c>
      <c r="C3374" s="166">
        <v>27</v>
      </c>
      <c r="D3374" s="166">
        <v>1782</v>
      </c>
      <c r="E3374" s="166" t="s">
        <v>1108</v>
      </c>
      <c r="F3374" s="166">
        <v>3003.0973913043467</v>
      </c>
    </row>
    <row r="3375" spans="1:6">
      <c r="A3375" s="403">
        <v>6761</v>
      </c>
      <c r="B3375" s="403">
        <v>2</v>
      </c>
      <c r="C3375" s="166">
        <v>27</v>
      </c>
      <c r="D3375" s="166">
        <v>1782</v>
      </c>
      <c r="E3375" s="166" t="s">
        <v>1108</v>
      </c>
      <c r="F3375" s="166">
        <v>3003.0973913043467</v>
      </c>
    </row>
    <row r="3376" spans="1:6">
      <c r="A3376" s="403">
        <v>6762</v>
      </c>
      <c r="B3376" s="403">
        <v>2</v>
      </c>
      <c r="C3376" s="166">
        <v>27</v>
      </c>
      <c r="D3376" s="166">
        <v>1782</v>
      </c>
      <c r="E3376" s="166" t="s">
        <v>1108</v>
      </c>
      <c r="F3376" s="166">
        <v>3003.0973913043467</v>
      </c>
    </row>
    <row r="3377" spans="1:6">
      <c r="A3377" s="403">
        <v>6765</v>
      </c>
      <c r="B3377" s="403">
        <v>1</v>
      </c>
      <c r="C3377" s="166">
        <v>6</v>
      </c>
      <c r="D3377" s="166">
        <v>2016</v>
      </c>
      <c r="E3377" s="166" t="s">
        <v>1108</v>
      </c>
      <c r="F3377" s="166">
        <v>2352.9332374928122</v>
      </c>
    </row>
    <row r="3378" spans="1:6">
      <c r="A3378" s="403">
        <v>6770</v>
      </c>
      <c r="B3378" s="403">
        <v>1</v>
      </c>
      <c r="C3378" s="166">
        <v>6</v>
      </c>
      <c r="D3378" s="166">
        <v>2016</v>
      </c>
      <c r="E3378" s="166" t="s">
        <v>1108</v>
      </c>
      <c r="F3378" s="166">
        <v>2352.9332374928122</v>
      </c>
    </row>
    <row r="3379" spans="1:6">
      <c r="A3379" s="403">
        <v>6798</v>
      </c>
      <c r="B3379" s="403">
        <v>1</v>
      </c>
      <c r="C3379" s="166">
        <v>6</v>
      </c>
      <c r="D3379" s="166">
        <v>2016</v>
      </c>
      <c r="E3379" s="166" t="s">
        <v>1108</v>
      </c>
      <c r="F3379" s="166">
        <v>2352.9332374928122</v>
      </c>
    </row>
    <row r="3380" spans="1:6">
      <c r="A3380" s="403">
        <v>6799</v>
      </c>
      <c r="B3380" s="403">
        <v>1</v>
      </c>
      <c r="C3380" s="166">
        <v>6</v>
      </c>
      <c r="D3380" s="166">
        <v>2016</v>
      </c>
      <c r="E3380" s="166" t="s">
        <v>1108</v>
      </c>
      <c r="F3380" s="166">
        <v>2352.9332374928122</v>
      </c>
    </row>
    <row r="3381" spans="1:6">
      <c r="A3381" s="403">
        <v>6803</v>
      </c>
      <c r="B3381" s="403">
        <v>7</v>
      </c>
      <c r="C3381" s="166">
        <v>680</v>
      </c>
      <c r="D3381" s="166">
        <v>340</v>
      </c>
      <c r="E3381" s="166" t="s">
        <v>1108</v>
      </c>
      <c r="F3381" s="166">
        <v>1648.3206367924527</v>
      </c>
    </row>
    <row r="3382" spans="1:6">
      <c r="A3382" s="403">
        <v>6809</v>
      </c>
      <c r="B3382" s="403">
        <v>7</v>
      </c>
      <c r="C3382" s="166">
        <v>680</v>
      </c>
      <c r="D3382" s="166">
        <v>340</v>
      </c>
      <c r="E3382" s="166" t="s">
        <v>1108</v>
      </c>
      <c r="F3382" s="166">
        <v>1648.3206367924527</v>
      </c>
    </row>
    <row r="3383" spans="1:6">
      <c r="A3383" s="403">
        <v>6812</v>
      </c>
      <c r="B3383" s="403">
        <v>7</v>
      </c>
      <c r="C3383" s="166">
        <v>680</v>
      </c>
      <c r="D3383" s="166">
        <v>340</v>
      </c>
      <c r="E3383" s="166" t="s">
        <v>1108</v>
      </c>
      <c r="F3383" s="166">
        <v>1648.3206367924527</v>
      </c>
    </row>
    <row r="3384" spans="1:6">
      <c r="A3384" s="403">
        <v>6817</v>
      </c>
      <c r="B3384" s="403">
        <v>7</v>
      </c>
      <c r="C3384" s="166">
        <v>680</v>
      </c>
      <c r="D3384" s="166">
        <v>340</v>
      </c>
      <c r="E3384" s="166" t="s">
        <v>1108</v>
      </c>
      <c r="F3384" s="166">
        <v>1648.3206367924527</v>
      </c>
    </row>
    <row r="3385" spans="1:6">
      <c r="A3385" s="403">
        <v>6820</v>
      </c>
      <c r="B3385" s="403">
        <v>7</v>
      </c>
      <c r="C3385" s="166">
        <v>680</v>
      </c>
      <c r="D3385" s="166">
        <v>340</v>
      </c>
      <c r="E3385" s="166" t="s">
        <v>1108</v>
      </c>
      <c r="F3385" s="166">
        <v>1648.3206367924527</v>
      </c>
    </row>
    <row r="3386" spans="1:6">
      <c r="A3386" s="403">
        <v>6824</v>
      </c>
      <c r="B3386" s="403">
        <v>7</v>
      </c>
      <c r="C3386" s="166">
        <v>680</v>
      </c>
      <c r="D3386" s="166">
        <v>340</v>
      </c>
      <c r="E3386" s="166" t="s">
        <v>1108</v>
      </c>
      <c r="F3386" s="166">
        <v>1648.3206367924527</v>
      </c>
    </row>
    <row r="3387" spans="1:6">
      <c r="A3387" s="403">
        <v>6825</v>
      </c>
      <c r="B3387" s="403">
        <v>7</v>
      </c>
      <c r="C3387" s="166">
        <v>680</v>
      </c>
      <c r="D3387" s="166">
        <v>340</v>
      </c>
      <c r="E3387" s="166" t="s">
        <v>1108</v>
      </c>
      <c r="F3387" s="166">
        <v>1648.3206367924527</v>
      </c>
    </row>
    <row r="3388" spans="1:6">
      <c r="A3388" s="403">
        <v>6826</v>
      </c>
      <c r="B3388" s="403">
        <v>7</v>
      </c>
      <c r="C3388" s="166">
        <v>680</v>
      </c>
      <c r="D3388" s="166">
        <v>340</v>
      </c>
      <c r="E3388" s="166" t="s">
        <v>1108</v>
      </c>
      <c r="F3388" s="166">
        <v>1648.3206367924527</v>
      </c>
    </row>
    <row r="3389" spans="1:6">
      <c r="A3389" s="403">
        <v>6827</v>
      </c>
      <c r="B3389" s="403">
        <v>7</v>
      </c>
      <c r="C3389" s="166">
        <v>680</v>
      </c>
      <c r="D3389" s="166">
        <v>340</v>
      </c>
      <c r="E3389" s="166" t="s">
        <v>1108</v>
      </c>
      <c r="F3389" s="166">
        <v>1648.3206367924527</v>
      </c>
    </row>
    <row r="3390" spans="1:6">
      <c r="A3390" s="403">
        <v>6828</v>
      </c>
      <c r="B3390" s="403">
        <v>7</v>
      </c>
      <c r="C3390" s="166">
        <v>680</v>
      </c>
      <c r="D3390" s="166">
        <v>340</v>
      </c>
      <c r="E3390" s="166" t="s">
        <v>1108</v>
      </c>
      <c r="F3390" s="166">
        <v>1648.3206367924527</v>
      </c>
    </row>
    <row r="3391" spans="1:6">
      <c r="A3391" s="403">
        <v>6829</v>
      </c>
      <c r="B3391" s="403">
        <v>7</v>
      </c>
      <c r="C3391" s="166">
        <v>680</v>
      </c>
      <c r="D3391" s="166">
        <v>340</v>
      </c>
      <c r="E3391" s="166" t="s">
        <v>1108</v>
      </c>
      <c r="F3391" s="166">
        <v>1648.3206367924527</v>
      </c>
    </row>
    <row r="3392" spans="1:6">
      <c r="A3392" s="403">
        <v>6830</v>
      </c>
      <c r="B3392" s="403">
        <v>7</v>
      </c>
      <c r="C3392" s="166">
        <v>680</v>
      </c>
      <c r="D3392" s="166">
        <v>340</v>
      </c>
      <c r="E3392" s="166" t="s">
        <v>1108</v>
      </c>
      <c r="F3392" s="166">
        <v>1648.3206367924527</v>
      </c>
    </row>
    <row r="3393" spans="1:6">
      <c r="A3393" s="403">
        <v>6831</v>
      </c>
      <c r="B3393" s="403">
        <v>7</v>
      </c>
      <c r="C3393" s="166">
        <v>680</v>
      </c>
      <c r="D3393" s="166">
        <v>340</v>
      </c>
      <c r="E3393" s="166" t="s">
        <v>1108</v>
      </c>
      <c r="F3393" s="166">
        <v>1648.3206367924527</v>
      </c>
    </row>
    <row r="3394" spans="1:6">
      <c r="A3394" s="403">
        <v>6832</v>
      </c>
      <c r="B3394" s="403">
        <v>7</v>
      </c>
      <c r="C3394" s="166">
        <v>680</v>
      </c>
      <c r="D3394" s="166">
        <v>340</v>
      </c>
      <c r="E3394" s="166" t="s">
        <v>1108</v>
      </c>
      <c r="F3394" s="166">
        <v>1648.3206367924527</v>
      </c>
    </row>
    <row r="3395" spans="1:6">
      <c r="A3395" s="403">
        <v>6833</v>
      </c>
      <c r="B3395" s="403">
        <v>7</v>
      </c>
      <c r="C3395" s="166">
        <v>680</v>
      </c>
      <c r="D3395" s="166">
        <v>340</v>
      </c>
      <c r="E3395" s="166" t="s">
        <v>1108</v>
      </c>
      <c r="F3395" s="166">
        <v>1648.3206367924527</v>
      </c>
    </row>
    <row r="3396" spans="1:6">
      <c r="A3396" s="403">
        <v>6834</v>
      </c>
      <c r="B3396" s="403">
        <v>7</v>
      </c>
      <c r="C3396" s="166">
        <v>680</v>
      </c>
      <c r="D3396" s="166">
        <v>340</v>
      </c>
      <c r="E3396" s="166" t="s">
        <v>1108</v>
      </c>
      <c r="F3396" s="166">
        <v>1648.3206367924527</v>
      </c>
    </row>
    <row r="3397" spans="1:6">
      <c r="A3397" s="403">
        <v>6836</v>
      </c>
      <c r="B3397" s="403">
        <v>7</v>
      </c>
      <c r="C3397" s="166">
        <v>680</v>
      </c>
      <c r="D3397" s="166">
        <v>340</v>
      </c>
      <c r="E3397" s="166" t="s">
        <v>1108</v>
      </c>
      <c r="F3397" s="166">
        <v>1648.3206367924527</v>
      </c>
    </row>
    <row r="3398" spans="1:6">
      <c r="A3398" s="403">
        <v>6837</v>
      </c>
      <c r="B3398" s="403">
        <v>7</v>
      </c>
      <c r="C3398" s="166">
        <v>680</v>
      </c>
      <c r="D3398" s="166">
        <v>340</v>
      </c>
      <c r="E3398" s="166" t="s">
        <v>1108</v>
      </c>
      <c r="F3398" s="166">
        <v>1648.3206367924527</v>
      </c>
    </row>
    <row r="3399" spans="1:6">
      <c r="A3399" s="403">
        <v>6838</v>
      </c>
      <c r="B3399" s="403">
        <v>7</v>
      </c>
      <c r="C3399" s="166">
        <v>680</v>
      </c>
      <c r="D3399" s="166">
        <v>340</v>
      </c>
      <c r="E3399" s="166" t="s">
        <v>1108</v>
      </c>
      <c r="F3399" s="166">
        <v>1648.3206367924527</v>
      </c>
    </row>
    <row r="3400" spans="1:6">
      <c r="A3400" s="403">
        <v>6839</v>
      </c>
      <c r="B3400" s="403">
        <v>7</v>
      </c>
      <c r="C3400" s="166">
        <v>680</v>
      </c>
      <c r="D3400" s="166">
        <v>340</v>
      </c>
      <c r="E3400" s="166" t="s">
        <v>1108</v>
      </c>
      <c r="F3400" s="166">
        <v>1648.3206367924527</v>
      </c>
    </row>
    <row r="3401" spans="1:6">
      <c r="A3401" s="403">
        <v>6840</v>
      </c>
      <c r="B3401" s="403">
        <v>7</v>
      </c>
      <c r="C3401" s="166">
        <v>680</v>
      </c>
      <c r="D3401" s="166">
        <v>340</v>
      </c>
      <c r="E3401" s="166" t="s">
        <v>1108</v>
      </c>
      <c r="F3401" s="166">
        <v>1648.3206367924527</v>
      </c>
    </row>
    <row r="3402" spans="1:6">
      <c r="A3402" s="403">
        <v>6841</v>
      </c>
      <c r="B3402" s="403">
        <v>7</v>
      </c>
      <c r="C3402" s="166">
        <v>680</v>
      </c>
      <c r="D3402" s="166">
        <v>340</v>
      </c>
      <c r="E3402" s="166" t="s">
        <v>1108</v>
      </c>
      <c r="F3402" s="166">
        <v>1648.3206367924527</v>
      </c>
    </row>
    <row r="3403" spans="1:6">
      <c r="A3403" s="403">
        <v>6842</v>
      </c>
      <c r="B3403" s="403">
        <v>7</v>
      </c>
      <c r="C3403" s="166">
        <v>680</v>
      </c>
      <c r="D3403" s="166">
        <v>340</v>
      </c>
      <c r="E3403" s="166" t="s">
        <v>1108</v>
      </c>
      <c r="F3403" s="166">
        <v>1648.3206367924527</v>
      </c>
    </row>
    <row r="3404" spans="1:6">
      <c r="A3404" s="403">
        <v>6843</v>
      </c>
      <c r="B3404" s="403">
        <v>7</v>
      </c>
      <c r="C3404" s="166">
        <v>680</v>
      </c>
      <c r="D3404" s="166">
        <v>340</v>
      </c>
      <c r="E3404" s="166" t="s">
        <v>1108</v>
      </c>
      <c r="F3404" s="166">
        <v>1648.3206367924527</v>
      </c>
    </row>
    <row r="3405" spans="1:6">
      <c r="A3405" s="403">
        <v>6844</v>
      </c>
      <c r="B3405" s="403">
        <v>7</v>
      </c>
      <c r="C3405" s="166">
        <v>680</v>
      </c>
      <c r="D3405" s="166">
        <v>340</v>
      </c>
      <c r="E3405" s="166" t="s">
        <v>1108</v>
      </c>
      <c r="F3405" s="166">
        <v>1648.3206367924527</v>
      </c>
    </row>
    <row r="3406" spans="1:6">
      <c r="A3406" s="403">
        <v>6845</v>
      </c>
      <c r="B3406" s="403">
        <v>7</v>
      </c>
      <c r="C3406" s="166">
        <v>680</v>
      </c>
      <c r="D3406" s="166">
        <v>340</v>
      </c>
      <c r="E3406" s="166" t="s">
        <v>1108</v>
      </c>
      <c r="F3406" s="166">
        <v>1648.3206367924527</v>
      </c>
    </row>
    <row r="3407" spans="1:6">
      <c r="A3407" s="403">
        <v>6846</v>
      </c>
      <c r="B3407" s="403">
        <v>7</v>
      </c>
      <c r="C3407" s="166">
        <v>680</v>
      </c>
      <c r="D3407" s="166">
        <v>340</v>
      </c>
      <c r="E3407" s="166" t="s">
        <v>1108</v>
      </c>
      <c r="F3407" s="166">
        <v>1648.3206367924527</v>
      </c>
    </row>
    <row r="3408" spans="1:6">
      <c r="A3408" s="403">
        <v>6847</v>
      </c>
      <c r="B3408" s="403">
        <v>7</v>
      </c>
      <c r="C3408" s="166">
        <v>680</v>
      </c>
      <c r="D3408" s="166">
        <v>340</v>
      </c>
      <c r="E3408" s="166" t="s">
        <v>1108</v>
      </c>
      <c r="F3408" s="166">
        <v>1648.3206367924527</v>
      </c>
    </row>
    <row r="3409" spans="1:6">
      <c r="A3409" s="403">
        <v>6848</v>
      </c>
      <c r="B3409" s="403">
        <v>7</v>
      </c>
      <c r="C3409" s="166">
        <v>680</v>
      </c>
      <c r="D3409" s="166">
        <v>340</v>
      </c>
      <c r="E3409" s="166" t="s">
        <v>1108</v>
      </c>
      <c r="F3409" s="166">
        <v>1648.3206367924527</v>
      </c>
    </row>
    <row r="3410" spans="1:6">
      <c r="A3410" s="403">
        <v>6849</v>
      </c>
      <c r="B3410" s="403">
        <v>7</v>
      </c>
      <c r="C3410" s="166">
        <v>680</v>
      </c>
      <c r="D3410" s="166">
        <v>340</v>
      </c>
      <c r="E3410" s="166" t="s">
        <v>1108</v>
      </c>
      <c r="F3410" s="166">
        <v>1648.3206367924527</v>
      </c>
    </row>
    <row r="3411" spans="1:6">
      <c r="A3411" s="403">
        <v>6850</v>
      </c>
      <c r="B3411" s="403">
        <v>7</v>
      </c>
      <c r="C3411" s="166">
        <v>680</v>
      </c>
      <c r="D3411" s="166">
        <v>340</v>
      </c>
      <c r="E3411" s="166" t="s">
        <v>1108</v>
      </c>
      <c r="F3411" s="166">
        <v>1648.3206367924527</v>
      </c>
    </row>
    <row r="3412" spans="1:6">
      <c r="A3412" s="403">
        <v>6851</v>
      </c>
      <c r="B3412" s="403">
        <v>7</v>
      </c>
      <c r="C3412" s="166">
        <v>680</v>
      </c>
      <c r="D3412" s="166">
        <v>340</v>
      </c>
      <c r="E3412" s="166" t="s">
        <v>1108</v>
      </c>
      <c r="F3412" s="166">
        <v>1648.3206367924527</v>
      </c>
    </row>
    <row r="3413" spans="1:6">
      <c r="A3413" s="403">
        <v>6865</v>
      </c>
      <c r="B3413" s="403">
        <v>7</v>
      </c>
      <c r="C3413" s="166">
        <v>680</v>
      </c>
      <c r="D3413" s="166">
        <v>340</v>
      </c>
      <c r="E3413" s="166" t="s">
        <v>1108</v>
      </c>
      <c r="F3413" s="166">
        <v>1648.3206367924527</v>
      </c>
    </row>
    <row r="3414" spans="1:6">
      <c r="A3414" s="403">
        <v>6872</v>
      </c>
      <c r="B3414" s="403">
        <v>7</v>
      </c>
      <c r="C3414" s="166">
        <v>680</v>
      </c>
      <c r="D3414" s="166">
        <v>340</v>
      </c>
      <c r="E3414" s="166" t="s">
        <v>1108</v>
      </c>
      <c r="F3414" s="166">
        <v>1648.3206367924527</v>
      </c>
    </row>
    <row r="3415" spans="1:6">
      <c r="A3415" s="403">
        <v>6873</v>
      </c>
      <c r="B3415" s="403">
        <v>7</v>
      </c>
      <c r="C3415" s="166">
        <v>680</v>
      </c>
      <c r="D3415" s="166">
        <v>340</v>
      </c>
      <c r="E3415" s="166" t="s">
        <v>1108</v>
      </c>
      <c r="F3415" s="166">
        <v>1648.3206367924527</v>
      </c>
    </row>
    <row r="3416" spans="1:6">
      <c r="A3416" s="403">
        <v>6892</v>
      </c>
      <c r="B3416" s="403">
        <v>7</v>
      </c>
      <c r="C3416" s="166">
        <v>680</v>
      </c>
      <c r="D3416" s="166">
        <v>340</v>
      </c>
      <c r="E3416" s="166" t="s">
        <v>1108</v>
      </c>
      <c r="F3416" s="166">
        <v>1648.3206367924527</v>
      </c>
    </row>
    <row r="3417" spans="1:6">
      <c r="A3417" s="403">
        <v>6893</v>
      </c>
      <c r="B3417" s="403">
        <v>7</v>
      </c>
      <c r="C3417" s="166">
        <v>680</v>
      </c>
      <c r="D3417" s="166">
        <v>340</v>
      </c>
      <c r="E3417" s="166" t="s">
        <v>1108</v>
      </c>
      <c r="F3417" s="166">
        <v>1648.3206367924527</v>
      </c>
    </row>
    <row r="3418" spans="1:6">
      <c r="A3418" s="403">
        <v>6900</v>
      </c>
      <c r="B3418" s="403">
        <v>7</v>
      </c>
      <c r="C3418" s="166">
        <v>680</v>
      </c>
      <c r="D3418" s="166">
        <v>340</v>
      </c>
      <c r="E3418" s="166" t="s">
        <v>1108</v>
      </c>
      <c r="F3418" s="166">
        <v>1648.3206367924527</v>
      </c>
    </row>
    <row r="3419" spans="1:6">
      <c r="A3419" s="403">
        <v>6901</v>
      </c>
      <c r="B3419" s="403">
        <v>7</v>
      </c>
      <c r="C3419" s="166">
        <v>680</v>
      </c>
      <c r="D3419" s="166">
        <v>340</v>
      </c>
      <c r="E3419" s="166" t="s">
        <v>1108</v>
      </c>
      <c r="F3419" s="166">
        <v>1648.3206367924527</v>
      </c>
    </row>
    <row r="3420" spans="1:6">
      <c r="A3420" s="403">
        <v>6902</v>
      </c>
      <c r="B3420" s="403">
        <v>7</v>
      </c>
      <c r="C3420" s="166">
        <v>680</v>
      </c>
      <c r="D3420" s="166">
        <v>340</v>
      </c>
      <c r="E3420" s="166" t="s">
        <v>1108</v>
      </c>
      <c r="F3420" s="166">
        <v>1648.3206367924527</v>
      </c>
    </row>
    <row r="3421" spans="1:6">
      <c r="A3421" s="403">
        <v>6903</v>
      </c>
      <c r="B3421" s="403">
        <v>7</v>
      </c>
      <c r="C3421" s="166">
        <v>680</v>
      </c>
      <c r="D3421" s="166">
        <v>340</v>
      </c>
      <c r="E3421" s="166" t="s">
        <v>1108</v>
      </c>
      <c r="F3421" s="166">
        <v>1648.3206367924527</v>
      </c>
    </row>
    <row r="3422" spans="1:6">
      <c r="A3422" s="403">
        <v>6904</v>
      </c>
      <c r="B3422" s="403">
        <v>7</v>
      </c>
      <c r="C3422" s="166">
        <v>680</v>
      </c>
      <c r="D3422" s="166">
        <v>340</v>
      </c>
      <c r="E3422" s="166" t="s">
        <v>1108</v>
      </c>
      <c r="F3422" s="166">
        <v>1648.3206367924527</v>
      </c>
    </row>
    <row r="3423" spans="1:6">
      <c r="A3423" s="403">
        <v>6905</v>
      </c>
      <c r="B3423" s="403">
        <v>7</v>
      </c>
      <c r="C3423" s="166">
        <v>680</v>
      </c>
      <c r="D3423" s="166">
        <v>340</v>
      </c>
      <c r="E3423" s="166" t="s">
        <v>1108</v>
      </c>
      <c r="F3423" s="166">
        <v>1648.3206367924527</v>
      </c>
    </row>
    <row r="3424" spans="1:6">
      <c r="A3424" s="403">
        <v>6906</v>
      </c>
      <c r="B3424" s="403">
        <v>7</v>
      </c>
      <c r="C3424" s="166">
        <v>680</v>
      </c>
      <c r="D3424" s="166">
        <v>340</v>
      </c>
      <c r="E3424" s="166" t="s">
        <v>1108</v>
      </c>
      <c r="F3424" s="166">
        <v>1648.3206367924527</v>
      </c>
    </row>
    <row r="3425" spans="1:6">
      <c r="A3425" s="403">
        <v>6907</v>
      </c>
      <c r="B3425" s="403">
        <v>7</v>
      </c>
      <c r="C3425" s="166">
        <v>680</v>
      </c>
      <c r="D3425" s="166">
        <v>340</v>
      </c>
      <c r="E3425" s="166" t="s">
        <v>1108</v>
      </c>
      <c r="F3425" s="166">
        <v>1648.3206367924527</v>
      </c>
    </row>
    <row r="3426" spans="1:6">
      <c r="A3426" s="403">
        <v>6909</v>
      </c>
      <c r="B3426" s="403">
        <v>7</v>
      </c>
      <c r="C3426" s="166">
        <v>680</v>
      </c>
      <c r="D3426" s="166">
        <v>340</v>
      </c>
      <c r="E3426" s="166" t="s">
        <v>1108</v>
      </c>
      <c r="F3426" s="166">
        <v>1648.3206367924527</v>
      </c>
    </row>
    <row r="3427" spans="1:6">
      <c r="A3427" s="403">
        <v>6910</v>
      </c>
      <c r="B3427" s="403">
        <v>7</v>
      </c>
      <c r="C3427" s="166">
        <v>680</v>
      </c>
      <c r="D3427" s="166">
        <v>340</v>
      </c>
      <c r="E3427" s="166" t="s">
        <v>1108</v>
      </c>
      <c r="F3427" s="166">
        <v>1648.3206367924527</v>
      </c>
    </row>
    <row r="3428" spans="1:6">
      <c r="A3428" s="403">
        <v>6911</v>
      </c>
      <c r="B3428" s="403">
        <v>7</v>
      </c>
      <c r="C3428" s="166">
        <v>680</v>
      </c>
      <c r="D3428" s="166">
        <v>340</v>
      </c>
      <c r="E3428" s="166" t="s">
        <v>1108</v>
      </c>
      <c r="F3428" s="166">
        <v>1648.3206367924527</v>
      </c>
    </row>
    <row r="3429" spans="1:6">
      <c r="A3429" s="403">
        <v>6912</v>
      </c>
      <c r="B3429" s="403">
        <v>7</v>
      </c>
      <c r="C3429" s="166">
        <v>680</v>
      </c>
      <c r="D3429" s="166">
        <v>340</v>
      </c>
      <c r="E3429" s="166" t="s">
        <v>1108</v>
      </c>
      <c r="F3429" s="166">
        <v>1648.3206367924527</v>
      </c>
    </row>
    <row r="3430" spans="1:6">
      <c r="A3430" s="403">
        <v>6913</v>
      </c>
      <c r="B3430" s="403">
        <v>7</v>
      </c>
      <c r="C3430" s="166">
        <v>680</v>
      </c>
      <c r="D3430" s="166">
        <v>340</v>
      </c>
      <c r="E3430" s="166" t="s">
        <v>1108</v>
      </c>
      <c r="F3430" s="166">
        <v>1648.3206367924527</v>
      </c>
    </row>
    <row r="3431" spans="1:6">
      <c r="A3431" s="403">
        <v>6914</v>
      </c>
      <c r="B3431" s="403">
        <v>7</v>
      </c>
      <c r="C3431" s="166">
        <v>680</v>
      </c>
      <c r="D3431" s="166">
        <v>340</v>
      </c>
      <c r="E3431" s="166" t="s">
        <v>1108</v>
      </c>
      <c r="F3431" s="166">
        <v>1648.3206367924527</v>
      </c>
    </row>
    <row r="3432" spans="1:6">
      <c r="A3432" s="403">
        <v>6915</v>
      </c>
      <c r="B3432" s="403">
        <v>7</v>
      </c>
      <c r="C3432" s="166">
        <v>680</v>
      </c>
      <c r="D3432" s="166">
        <v>340</v>
      </c>
      <c r="E3432" s="166" t="s">
        <v>1108</v>
      </c>
      <c r="F3432" s="166">
        <v>1648.3206367924527</v>
      </c>
    </row>
    <row r="3433" spans="1:6">
      <c r="A3433" s="403">
        <v>6916</v>
      </c>
      <c r="B3433" s="403">
        <v>7</v>
      </c>
      <c r="C3433" s="166">
        <v>680</v>
      </c>
      <c r="D3433" s="166">
        <v>340</v>
      </c>
      <c r="E3433" s="166" t="s">
        <v>1108</v>
      </c>
      <c r="F3433" s="166">
        <v>1648.3206367924527</v>
      </c>
    </row>
    <row r="3434" spans="1:6">
      <c r="A3434" s="403">
        <v>6917</v>
      </c>
      <c r="B3434" s="403">
        <v>7</v>
      </c>
      <c r="C3434" s="166">
        <v>680</v>
      </c>
      <c r="D3434" s="166">
        <v>340</v>
      </c>
      <c r="E3434" s="166" t="s">
        <v>1108</v>
      </c>
      <c r="F3434" s="166">
        <v>1648.3206367924527</v>
      </c>
    </row>
    <row r="3435" spans="1:6">
      <c r="A3435" s="403">
        <v>6918</v>
      </c>
      <c r="B3435" s="403">
        <v>7</v>
      </c>
      <c r="C3435" s="166">
        <v>680</v>
      </c>
      <c r="D3435" s="166">
        <v>340</v>
      </c>
      <c r="E3435" s="166" t="s">
        <v>1108</v>
      </c>
      <c r="F3435" s="166">
        <v>1648.3206367924527</v>
      </c>
    </row>
    <row r="3436" spans="1:6">
      <c r="A3436" s="403">
        <v>6919</v>
      </c>
      <c r="B3436" s="403">
        <v>7</v>
      </c>
      <c r="C3436" s="166">
        <v>680</v>
      </c>
      <c r="D3436" s="166">
        <v>340</v>
      </c>
      <c r="E3436" s="166" t="s">
        <v>1108</v>
      </c>
      <c r="F3436" s="166">
        <v>1648.3206367924527</v>
      </c>
    </row>
    <row r="3437" spans="1:6">
      <c r="A3437" s="403">
        <v>6920</v>
      </c>
      <c r="B3437" s="403">
        <v>7</v>
      </c>
      <c r="C3437" s="166">
        <v>680</v>
      </c>
      <c r="D3437" s="166">
        <v>340</v>
      </c>
      <c r="E3437" s="166" t="s">
        <v>1108</v>
      </c>
      <c r="F3437" s="166">
        <v>1648.3206367924527</v>
      </c>
    </row>
    <row r="3438" spans="1:6">
      <c r="A3438" s="403">
        <v>6921</v>
      </c>
      <c r="B3438" s="403">
        <v>7</v>
      </c>
      <c r="C3438" s="166">
        <v>680</v>
      </c>
      <c r="D3438" s="166">
        <v>340</v>
      </c>
      <c r="E3438" s="166" t="s">
        <v>1108</v>
      </c>
      <c r="F3438" s="166">
        <v>1648.3206367924527</v>
      </c>
    </row>
    <row r="3439" spans="1:6">
      <c r="A3439" s="403">
        <v>6922</v>
      </c>
      <c r="B3439" s="403">
        <v>7</v>
      </c>
      <c r="C3439" s="166">
        <v>680</v>
      </c>
      <c r="D3439" s="166">
        <v>340</v>
      </c>
      <c r="E3439" s="166" t="s">
        <v>1108</v>
      </c>
      <c r="F3439" s="166">
        <v>1648.3206367924527</v>
      </c>
    </row>
    <row r="3440" spans="1:6">
      <c r="A3440" s="403">
        <v>6923</v>
      </c>
      <c r="B3440" s="403">
        <v>7</v>
      </c>
      <c r="C3440" s="166">
        <v>680</v>
      </c>
      <c r="D3440" s="166">
        <v>340</v>
      </c>
      <c r="E3440" s="166" t="s">
        <v>1108</v>
      </c>
      <c r="F3440" s="166">
        <v>1648.3206367924527</v>
      </c>
    </row>
    <row r="3441" spans="1:6">
      <c r="A3441" s="403">
        <v>6924</v>
      </c>
      <c r="B3441" s="403">
        <v>7</v>
      </c>
      <c r="C3441" s="166">
        <v>680</v>
      </c>
      <c r="D3441" s="166">
        <v>340</v>
      </c>
      <c r="E3441" s="166" t="s">
        <v>1108</v>
      </c>
      <c r="F3441" s="166">
        <v>1648.3206367924527</v>
      </c>
    </row>
    <row r="3442" spans="1:6">
      <c r="A3442" s="403">
        <v>6925</v>
      </c>
      <c r="B3442" s="403">
        <v>7</v>
      </c>
      <c r="C3442" s="166">
        <v>680</v>
      </c>
      <c r="D3442" s="166">
        <v>340</v>
      </c>
      <c r="E3442" s="166" t="s">
        <v>1108</v>
      </c>
      <c r="F3442" s="166">
        <v>1648.3206367924527</v>
      </c>
    </row>
    <row r="3443" spans="1:6">
      <c r="A3443" s="403">
        <v>6926</v>
      </c>
      <c r="B3443" s="403">
        <v>7</v>
      </c>
      <c r="C3443" s="166">
        <v>680</v>
      </c>
      <c r="D3443" s="166">
        <v>340</v>
      </c>
      <c r="E3443" s="166" t="s">
        <v>1108</v>
      </c>
      <c r="F3443" s="166">
        <v>1648.3206367924527</v>
      </c>
    </row>
    <row r="3444" spans="1:6">
      <c r="A3444" s="403">
        <v>6927</v>
      </c>
      <c r="B3444" s="403">
        <v>7</v>
      </c>
      <c r="C3444" s="166">
        <v>680</v>
      </c>
      <c r="D3444" s="166">
        <v>340</v>
      </c>
      <c r="E3444" s="166" t="s">
        <v>1108</v>
      </c>
      <c r="F3444" s="166">
        <v>1648.3206367924527</v>
      </c>
    </row>
    <row r="3445" spans="1:6">
      <c r="A3445" s="403">
        <v>6928</v>
      </c>
      <c r="B3445" s="403">
        <v>7</v>
      </c>
      <c r="C3445" s="166">
        <v>680</v>
      </c>
      <c r="D3445" s="166">
        <v>340</v>
      </c>
      <c r="E3445" s="166" t="s">
        <v>1108</v>
      </c>
      <c r="F3445" s="166">
        <v>1648.3206367924527</v>
      </c>
    </row>
    <row r="3446" spans="1:6">
      <c r="A3446" s="403">
        <v>6929</v>
      </c>
      <c r="B3446" s="403">
        <v>7</v>
      </c>
      <c r="C3446" s="166">
        <v>680</v>
      </c>
      <c r="D3446" s="166">
        <v>340</v>
      </c>
      <c r="E3446" s="166" t="s">
        <v>1108</v>
      </c>
      <c r="F3446" s="166">
        <v>1648.3206367924527</v>
      </c>
    </row>
    <row r="3447" spans="1:6">
      <c r="A3447" s="403">
        <v>6931</v>
      </c>
      <c r="B3447" s="403">
        <v>7</v>
      </c>
      <c r="C3447" s="166">
        <v>680</v>
      </c>
      <c r="D3447" s="166">
        <v>340</v>
      </c>
      <c r="E3447" s="166" t="s">
        <v>1108</v>
      </c>
      <c r="F3447" s="166">
        <v>1648.3206367924527</v>
      </c>
    </row>
    <row r="3448" spans="1:6">
      <c r="A3448" s="403">
        <v>6932</v>
      </c>
      <c r="B3448" s="403">
        <v>7</v>
      </c>
      <c r="C3448" s="166">
        <v>680</v>
      </c>
      <c r="D3448" s="166">
        <v>340</v>
      </c>
      <c r="E3448" s="166" t="s">
        <v>1108</v>
      </c>
      <c r="F3448" s="166">
        <v>1648.3206367924527</v>
      </c>
    </row>
    <row r="3449" spans="1:6">
      <c r="A3449" s="403">
        <v>6933</v>
      </c>
      <c r="B3449" s="403">
        <v>7</v>
      </c>
      <c r="C3449" s="166">
        <v>680</v>
      </c>
      <c r="D3449" s="166">
        <v>340</v>
      </c>
      <c r="E3449" s="166" t="s">
        <v>1108</v>
      </c>
      <c r="F3449" s="166">
        <v>1648.3206367924527</v>
      </c>
    </row>
    <row r="3450" spans="1:6">
      <c r="A3450" s="403">
        <v>6934</v>
      </c>
      <c r="B3450" s="403">
        <v>7</v>
      </c>
      <c r="C3450" s="166">
        <v>680</v>
      </c>
      <c r="D3450" s="166">
        <v>340</v>
      </c>
      <c r="E3450" s="166" t="s">
        <v>1108</v>
      </c>
      <c r="F3450" s="166">
        <v>1648.3206367924527</v>
      </c>
    </row>
    <row r="3451" spans="1:6">
      <c r="A3451" s="403">
        <v>6935</v>
      </c>
      <c r="B3451" s="403">
        <v>7</v>
      </c>
      <c r="C3451" s="166">
        <v>680</v>
      </c>
      <c r="D3451" s="166">
        <v>340</v>
      </c>
      <c r="E3451" s="166" t="s">
        <v>1108</v>
      </c>
      <c r="F3451" s="166">
        <v>1648.3206367924527</v>
      </c>
    </row>
    <row r="3452" spans="1:6">
      <c r="A3452" s="403">
        <v>6936</v>
      </c>
      <c r="B3452" s="403">
        <v>7</v>
      </c>
      <c r="C3452" s="166">
        <v>680</v>
      </c>
      <c r="D3452" s="166">
        <v>340</v>
      </c>
      <c r="E3452" s="166" t="s">
        <v>1108</v>
      </c>
      <c r="F3452" s="166">
        <v>1648.3206367924527</v>
      </c>
    </row>
    <row r="3453" spans="1:6">
      <c r="A3453" s="403">
        <v>6937</v>
      </c>
      <c r="B3453" s="403">
        <v>7</v>
      </c>
      <c r="C3453" s="166">
        <v>680</v>
      </c>
      <c r="D3453" s="166">
        <v>340</v>
      </c>
      <c r="E3453" s="166" t="s">
        <v>1108</v>
      </c>
      <c r="F3453" s="166">
        <v>1648.3206367924527</v>
      </c>
    </row>
    <row r="3454" spans="1:6">
      <c r="A3454" s="403">
        <v>6938</v>
      </c>
      <c r="B3454" s="403">
        <v>7</v>
      </c>
      <c r="C3454" s="166">
        <v>680</v>
      </c>
      <c r="D3454" s="166">
        <v>340</v>
      </c>
      <c r="E3454" s="166" t="s">
        <v>1108</v>
      </c>
      <c r="F3454" s="166">
        <v>1648.3206367924527</v>
      </c>
    </row>
    <row r="3455" spans="1:6">
      <c r="A3455" s="403">
        <v>6939</v>
      </c>
      <c r="B3455" s="403">
        <v>7</v>
      </c>
      <c r="C3455" s="166">
        <v>680</v>
      </c>
      <c r="D3455" s="166">
        <v>340</v>
      </c>
      <c r="E3455" s="166" t="s">
        <v>1108</v>
      </c>
      <c r="F3455" s="166">
        <v>1648.3206367924527</v>
      </c>
    </row>
    <row r="3456" spans="1:6">
      <c r="A3456" s="403">
        <v>6940</v>
      </c>
      <c r="B3456" s="403">
        <v>7</v>
      </c>
      <c r="C3456" s="166">
        <v>680</v>
      </c>
      <c r="D3456" s="166">
        <v>340</v>
      </c>
      <c r="E3456" s="166" t="s">
        <v>1108</v>
      </c>
      <c r="F3456" s="166">
        <v>1648.3206367924527</v>
      </c>
    </row>
    <row r="3457" spans="1:6">
      <c r="A3457" s="403">
        <v>6941</v>
      </c>
      <c r="B3457" s="403">
        <v>7</v>
      </c>
      <c r="C3457" s="166">
        <v>680</v>
      </c>
      <c r="D3457" s="166">
        <v>340</v>
      </c>
      <c r="E3457" s="166" t="s">
        <v>1108</v>
      </c>
      <c r="F3457" s="166">
        <v>1648.3206367924527</v>
      </c>
    </row>
    <row r="3458" spans="1:6">
      <c r="A3458" s="403">
        <v>6942</v>
      </c>
      <c r="B3458" s="403">
        <v>7</v>
      </c>
      <c r="C3458" s="166">
        <v>680</v>
      </c>
      <c r="D3458" s="166">
        <v>340</v>
      </c>
      <c r="E3458" s="166" t="s">
        <v>1108</v>
      </c>
      <c r="F3458" s="166">
        <v>1648.3206367924527</v>
      </c>
    </row>
    <row r="3459" spans="1:6">
      <c r="A3459" s="403">
        <v>6943</v>
      </c>
      <c r="B3459" s="403">
        <v>7</v>
      </c>
      <c r="C3459" s="166">
        <v>680</v>
      </c>
      <c r="D3459" s="166">
        <v>340</v>
      </c>
      <c r="E3459" s="166" t="s">
        <v>1108</v>
      </c>
      <c r="F3459" s="166">
        <v>1648.3206367924527</v>
      </c>
    </row>
    <row r="3460" spans="1:6">
      <c r="A3460" s="403">
        <v>6944</v>
      </c>
      <c r="B3460" s="403">
        <v>7</v>
      </c>
      <c r="C3460" s="166">
        <v>680</v>
      </c>
      <c r="D3460" s="166">
        <v>340</v>
      </c>
      <c r="E3460" s="166" t="s">
        <v>1108</v>
      </c>
      <c r="F3460" s="166">
        <v>1648.3206367924527</v>
      </c>
    </row>
    <row r="3461" spans="1:6">
      <c r="A3461" s="403">
        <v>6945</v>
      </c>
      <c r="B3461" s="403">
        <v>7</v>
      </c>
      <c r="C3461" s="166">
        <v>680</v>
      </c>
      <c r="D3461" s="166">
        <v>340</v>
      </c>
      <c r="E3461" s="166" t="s">
        <v>1108</v>
      </c>
      <c r="F3461" s="166">
        <v>1648.3206367924527</v>
      </c>
    </row>
    <row r="3462" spans="1:6">
      <c r="A3462" s="403">
        <v>6946</v>
      </c>
      <c r="B3462" s="403">
        <v>7</v>
      </c>
      <c r="C3462" s="166">
        <v>680</v>
      </c>
      <c r="D3462" s="166">
        <v>340</v>
      </c>
      <c r="E3462" s="166" t="s">
        <v>1108</v>
      </c>
      <c r="F3462" s="166">
        <v>1648.3206367924527</v>
      </c>
    </row>
    <row r="3463" spans="1:6">
      <c r="A3463" s="403">
        <v>6947</v>
      </c>
      <c r="B3463" s="403">
        <v>7</v>
      </c>
      <c r="C3463" s="166">
        <v>680</v>
      </c>
      <c r="D3463" s="166">
        <v>340</v>
      </c>
      <c r="E3463" s="166" t="s">
        <v>1108</v>
      </c>
      <c r="F3463" s="166">
        <v>1648.3206367924527</v>
      </c>
    </row>
    <row r="3464" spans="1:6">
      <c r="A3464" s="403">
        <v>6951</v>
      </c>
      <c r="B3464" s="403">
        <v>7</v>
      </c>
      <c r="C3464" s="166">
        <v>680</v>
      </c>
      <c r="D3464" s="166">
        <v>340</v>
      </c>
      <c r="E3464" s="166" t="s">
        <v>1108</v>
      </c>
      <c r="F3464" s="166">
        <v>1648.3206367924527</v>
      </c>
    </row>
    <row r="3465" spans="1:6">
      <c r="A3465" s="403">
        <v>6952</v>
      </c>
      <c r="B3465" s="403">
        <v>7</v>
      </c>
      <c r="C3465" s="166">
        <v>680</v>
      </c>
      <c r="D3465" s="166">
        <v>340</v>
      </c>
      <c r="E3465" s="166" t="s">
        <v>1108</v>
      </c>
      <c r="F3465" s="166">
        <v>1648.3206367924527</v>
      </c>
    </row>
    <row r="3466" spans="1:6">
      <c r="A3466" s="403">
        <v>6953</v>
      </c>
      <c r="B3466" s="403">
        <v>7</v>
      </c>
      <c r="C3466" s="166">
        <v>680</v>
      </c>
      <c r="D3466" s="166">
        <v>340</v>
      </c>
      <c r="E3466" s="166" t="s">
        <v>1108</v>
      </c>
      <c r="F3466" s="166">
        <v>1648.3206367924527</v>
      </c>
    </row>
    <row r="3467" spans="1:6">
      <c r="A3467" s="403">
        <v>6954</v>
      </c>
      <c r="B3467" s="403">
        <v>7</v>
      </c>
      <c r="C3467" s="166">
        <v>680</v>
      </c>
      <c r="D3467" s="166">
        <v>340</v>
      </c>
      <c r="E3467" s="166" t="s">
        <v>1108</v>
      </c>
      <c r="F3467" s="166">
        <v>1648.3206367924527</v>
      </c>
    </row>
    <row r="3468" spans="1:6">
      <c r="A3468" s="403">
        <v>6955</v>
      </c>
      <c r="B3468" s="403">
        <v>7</v>
      </c>
      <c r="C3468" s="166">
        <v>680</v>
      </c>
      <c r="D3468" s="166">
        <v>340</v>
      </c>
      <c r="E3468" s="166" t="s">
        <v>1108</v>
      </c>
      <c r="F3468" s="166">
        <v>1648.3206367924527</v>
      </c>
    </row>
    <row r="3469" spans="1:6">
      <c r="A3469" s="403">
        <v>6956</v>
      </c>
      <c r="B3469" s="403">
        <v>7</v>
      </c>
      <c r="C3469" s="166">
        <v>680</v>
      </c>
      <c r="D3469" s="166">
        <v>340</v>
      </c>
      <c r="E3469" s="166" t="s">
        <v>1108</v>
      </c>
      <c r="F3469" s="166">
        <v>1648.3206367924527</v>
      </c>
    </row>
    <row r="3470" spans="1:6">
      <c r="A3470" s="403">
        <v>6957</v>
      </c>
      <c r="B3470" s="403">
        <v>7</v>
      </c>
      <c r="C3470" s="166">
        <v>680</v>
      </c>
      <c r="D3470" s="166">
        <v>340</v>
      </c>
      <c r="E3470" s="166" t="s">
        <v>1108</v>
      </c>
      <c r="F3470" s="166">
        <v>1648.3206367924527</v>
      </c>
    </row>
    <row r="3471" spans="1:6">
      <c r="A3471" s="403">
        <v>6958</v>
      </c>
      <c r="B3471" s="403">
        <v>7</v>
      </c>
      <c r="C3471" s="166">
        <v>680</v>
      </c>
      <c r="D3471" s="166">
        <v>340</v>
      </c>
      <c r="E3471" s="166" t="s">
        <v>1108</v>
      </c>
      <c r="F3471" s="166">
        <v>1648.3206367924527</v>
      </c>
    </row>
    <row r="3472" spans="1:6">
      <c r="A3472" s="403">
        <v>6959</v>
      </c>
      <c r="B3472" s="403">
        <v>7</v>
      </c>
      <c r="C3472" s="166">
        <v>680</v>
      </c>
      <c r="D3472" s="166">
        <v>340</v>
      </c>
      <c r="E3472" s="166" t="s">
        <v>1108</v>
      </c>
      <c r="F3472" s="166">
        <v>1648.3206367924527</v>
      </c>
    </row>
    <row r="3473" spans="1:6">
      <c r="A3473" s="403">
        <v>6960</v>
      </c>
      <c r="B3473" s="403">
        <v>7</v>
      </c>
      <c r="C3473" s="166">
        <v>680</v>
      </c>
      <c r="D3473" s="166">
        <v>340</v>
      </c>
      <c r="E3473" s="166" t="s">
        <v>1108</v>
      </c>
      <c r="F3473" s="166">
        <v>1648.3206367924527</v>
      </c>
    </row>
    <row r="3474" spans="1:6">
      <c r="A3474" s="403">
        <v>6961</v>
      </c>
      <c r="B3474" s="403">
        <v>7</v>
      </c>
      <c r="C3474" s="166">
        <v>680</v>
      </c>
      <c r="D3474" s="166">
        <v>340</v>
      </c>
      <c r="E3474" s="166" t="s">
        <v>1108</v>
      </c>
      <c r="F3474" s="166">
        <v>1648.3206367924527</v>
      </c>
    </row>
    <row r="3475" spans="1:6">
      <c r="A3475" s="403">
        <v>6962</v>
      </c>
      <c r="B3475" s="403">
        <v>7</v>
      </c>
      <c r="C3475" s="166">
        <v>680</v>
      </c>
      <c r="D3475" s="166">
        <v>340</v>
      </c>
      <c r="E3475" s="166" t="s">
        <v>1108</v>
      </c>
      <c r="F3475" s="166">
        <v>1648.3206367924527</v>
      </c>
    </row>
    <row r="3476" spans="1:6">
      <c r="A3476" s="403">
        <v>6963</v>
      </c>
      <c r="B3476" s="403">
        <v>7</v>
      </c>
      <c r="C3476" s="166">
        <v>680</v>
      </c>
      <c r="D3476" s="166">
        <v>340</v>
      </c>
      <c r="E3476" s="166" t="s">
        <v>1108</v>
      </c>
      <c r="F3476" s="166">
        <v>1648.3206367924527</v>
      </c>
    </row>
    <row r="3477" spans="1:6">
      <c r="A3477" s="403">
        <v>6964</v>
      </c>
      <c r="B3477" s="403">
        <v>7</v>
      </c>
      <c r="C3477" s="166">
        <v>680</v>
      </c>
      <c r="D3477" s="166">
        <v>340</v>
      </c>
      <c r="E3477" s="166" t="s">
        <v>1108</v>
      </c>
      <c r="F3477" s="166">
        <v>1648.3206367924527</v>
      </c>
    </row>
    <row r="3478" spans="1:6">
      <c r="A3478" s="403">
        <v>6965</v>
      </c>
      <c r="B3478" s="403">
        <v>7</v>
      </c>
      <c r="C3478" s="166">
        <v>680</v>
      </c>
      <c r="D3478" s="166">
        <v>340</v>
      </c>
      <c r="E3478" s="166" t="s">
        <v>1108</v>
      </c>
      <c r="F3478" s="166">
        <v>1648.3206367924527</v>
      </c>
    </row>
    <row r="3479" spans="1:6">
      <c r="A3479" s="403">
        <v>6966</v>
      </c>
      <c r="B3479" s="403">
        <v>7</v>
      </c>
      <c r="C3479" s="166">
        <v>680</v>
      </c>
      <c r="D3479" s="166">
        <v>340</v>
      </c>
      <c r="E3479" s="166" t="s">
        <v>1108</v>
      </c>
      <c r="F3479" s="166">
        <v>1648.3206367924527</v>
      </c>
    </row>
    <row r="3480" spans="1:6">
      <c r="A3480" s="403">
        <v>6967</v>
      </c>
      <c r="B3480" s="403">
        <v>7</v>
      </c>
      <c r="C3480" s="166">
        <v>680</v>
      </c>
      <c r="D3480" s="166">
        <v>340</v>
      </c>
      <c r="E3480" s="166" t="s">
        <v>1108</v>
      </c>
      <c r="F3480" s="166">
        <v>1648.3206367924527</v>
      </c>
    </row>
    <row r="3481" spans="1:6">
      <c r="A3481" s="403">
        <v>6968</v>
      </c>
      <c r="B3481" s="403">
        <v>7</v>
      </c>
      <c r="C3481" s="166">
        <v>680</v>
      </c>
      <c r="D3481" s="166">
        <v>340</v>
      </c>
      <c r="E3481" s="166" t="s">
        <v>1108</v>
      </c>
      <c r="F3481" s="166">
        <v>1648.3206367924527</v>
      </c>
    </row>
    <row r="3482" spans="1:6">
      <c r="A3482" s="403">
        <v>6969</v>
      </c>
      <c r="B3482" s="403">
        <v>7</v>
      </c>
      <c r="C3482" s="166">
        <v>680</v>
      </c>
      <c r="D3482" s="166">
        <v>340</v>
      </c>
      <c r="E3482" s="166" t="s">
        <v>1108</v>
      </c>
      <c r="F3482" s="166">
        <v>1648.3206367924527</v>
      </c>
    </row>
    <row r="3483" spans="1:6">
      <c r="A3483" s="403">
        <v>6970</v>
      </c>
      <c r="B3483" s="403">
        <v>7</v>
      </c>
      <c r="C3483" s="166">
        <v>680</v>
      </c>
      <c r="D3483" s="166">
        <v>340</v>
      </c>
      <c r="E3483" s="166" t="s">
        <v>1108</v>
      </c>
      <c r="F3483" s="166">
        <v>1648.3206367924527</v>
      </c>
    </row>
    <row r="3484" spans="1:6">
      <c r="A3484" s="403">
        <v>6971</v>
      </c>
      <c r="B3484" s="403">
        <v>7</v>
      </c>
      <c r="C3484" s="166">
        <v>680</v>
      </c>
      <c r="D3484" s="166">
        <v>340</v>
      </c>
      <c r="E3484" s="166" t="s">
        <v>1108</v>
      </c>
      <c r="F3484" s="166">
        <v>1648.3206367924527</v>
      </c>
    </row>
    <row r="3485" spans="1:6">
      <c r="A3485" s="403">
        <v>6979</v>
      </c>
      <c r="B3485" s="403">
        <v>7</v>
      </c>
      <c r="C3485" s="166">
        <v>680</v>
      </c>
      <c r="D3485" s="166">
        <v>340</v>
      </c>
      <c r="E3485" s="166" t="s">
        <v>1108</v>
      </c>
      <c r="F3485" s="166">
        <v>1648.3206367924527</v>
      </c>
    </row>
    <row r="3486" spans="1:6">
      <c r="A3486" s="403">
        <v>6980</v>
      </c>
      <c r="B3486" s="403">
        <v>7</v>
      </c>
      <c r="C3486" s="166">
        <v>680</v>
      </c>
      <c r="D3486" s="166">
        <v>340</v>
      </c>
      <c r="E3486" s="166" t="s">
        <v>1108</v>
      </c>
      <c r="F3486" s="166">
        <v>1648.3206367924527</v>
      </c>
    </row>
    <row r="3487" spans="1:6">
      <c r="A3487" s="403">
        <v>6981</v>
      </c>
      <c r="B3487" s="403">
        <v>7</v>
      </c>
      <c r="C3487" s="166">
        <v>680</v>
      </c>
      <c r="D3487" s="166">
        <v>340</v>
      </c>
      <c r="E3487" s="166" t="s">
        <v>1108</v>
      </c>
      <c r="F3487" s="166">
        <v>1648.3206367924527</v>
      </c>
    </row>
    <row r="3488" spans="1:6">
      <c r="A3488" s="403">
        <v>6982</v>
      </c>
      <c r="B3488" s="403">
        <v>7</v>
      </c>
      <c r="C3488" s="166">
        <v>680</v>
      </c>
      <c r="D3488" s="166">
        <v>340</v>
      </c>
      <c r="E3488" s="166" t="s">
        <v>1108</v>
      </c>
      <c r="F3488" s="166">
        <v>1648.3206367924527</v>
      </c>
    </row>
    <row r="3489" spans="1:6">
      <c r="A3489" s="403">
        <v>6983</v>
      </c>
      <c r="B3489" s="403">
        <v>7</v>
      </c>
      <c r="C3489" s="166">
        <v>680</v>
      </c>
      <c r="D3489" s="166">
        <v>340</v>
      </c>
      <c r="E3489" s="166" t="s">
        <v>1108</v>
      </c>
      <c r="F3489" s="166">
        <v>1648.3206367924527</v>
      </c>
    </row>
    <row r="3490" spans="1:6">
      <c r="A3490" s="403">
        <v>6984</v>
      </c>
      <c r="B3490" s="403">
        <v>7</v>
      </c>
      <c r="C3490" s="166">
        <v>680</v>
      </c>
      <c r="D3490" s="166">
        <v>340</v>
      </c>
      <c r="E3490" s="166" t="s">
        <v>1108</v>
      </c>
      <c r="F3490" s="166">
        <v>1648.3206367924527</v>
      </c>
    </row>
    <row r="3491" spans="1:6">
      <c r="A3491" s="403">
        <v>6985</v>
      </c>
      <c r="B3491" s="403">
        <v>7</v>
      </c>
      <c r="C3491" s="166">
        <v>680</v>
      </c>
      <c r="D3491" s="166">
        <v>340</v>
      </c>
      <c r="E3491" s="166" t="s">
        <v>1108</v>
      </c>
      <c r="F3491" s="166">
        <v>1648.3206367924527</v>
      </c>
    </row>
    <row r="3492" spans="1:6">
      <c r="A3492" s="403">
        <v>6986</v>
      </c>
      <c r="B3492" s="403">
        <v>7</v>
      </c>
      <c r="C3492" s="166">
        <v>680</v>
      </c>
      <c r="D3492" s="166">
        <v>340</v>
      </c>
      <c r="E3492" s="166" t="s">
        <v>1108</v>
      </c>
      <c r="F3492" s="166">
        <v>1648.3206367924527</v>
      </c>
    </row>
    <row r="3493" spans="1:6">
      <c r="A3493" s="403">
        <v>6987</v>
      </c>
      <c r="B3493" s="403">
        <v>7</v>
      </c>
      <c r="C3493" s="166">
        <v>680</v>
      </c>
      <c r="D3493" s="166">
        <v>340</v>
      </c>
      <c r="E3493" s="166" t="s">
        <v>1108</v>
      </c>
      <c r="F3493" s="166">
        <v>1648.3206367924527</v>
      </c>
    </row>
    <row r="3494" spans="1:6">
      <c r="A3494" s="403">
        <v>6988</v>
      </c>
      <c r="B3494" s="403">
        <v>7</v>
      </c>
      <c r="C3494" s="166">
        <v>680</v>
      </c>
      <c r="D3494" s="166">
        <v>340</v>
      </c>
      <c r="E3494" s="166" t="s">
        <v>1108</v>
      </c>
      <c r="F3494" s="166">
        <v>1648.3206367924527</v>
      </c>
    </row>
    <row r="3495" spans="1:6">
      <c r="A3495" s="403">
        <v>6989</v>
      </c>
      <c r="B3495" s="403">
        <v>7</v>
      </c>
      <c r="C3495" s="166">
        <v>680</v>
      </c>
      <c r="D3495" s="166">
        <v>340</v>
      </c>
      <c r="E3495" s="166" t="s">
        <v>1108</v>
      </c>
      <c r="F3495" s="166">
        <v>1648.3206367924527</v>
      </c>
    </row>
    <row r="3496" spans="1:6">
      <c r="A3496" s="403">
        <v>6990</v>
      </c>
      <c r="B3496" s="403">
        <v>7</v>
      </c>
      <c r="C3496" s="166">
        <v>680</v>
      </c>
      <c r="D3496" s="166">
        <v>340</v>
      </c>
      <c r="E3496" s="166" t="s">
        <v>1108</v>
      </c>
      <c r="F3496" s="166">
        <v>1648.3206367924527</v>
      </c>
    </row>
    <row r="3497" spans="1:6">
      <c r="A3497" s="403">
        <v>6991</v>
      </c>
      <c r="B3497" s="403">
        <v>7</v>
      </c>
      <c r="C3497" s="166">
        <v>680</v>
      </c>
      <c r="D3497" s="166">
        <v>340</v>
      </c>
      <c r="E3497" s="166" t="s">
        <v>1108</v>
      </c>
      <c r="F3497" s="166">
        <v>1648.3206367924527</v>
      </c>
    </row>
    <row r="3498" spans="1:6">
      <c r="A3498" s="403">
        <v>6992</v>
      </c>
      <c r="B3498" s="403">
        <v>7</v>
      </c>
      <c r="C3498" s="166">
        <v>680</v>
      </c>
      <c r="D3498" s="166">
        <v>340</v>
      </c>
      <c r="E3498" s="166" t="s">
        <v>1108</v>
      </c>
      <c r="F3498" s="166">
        <v>1648.3206367924527</v>
      </c>
    </row>
    <row r="3499" spans="1:6">
      <c r="A3499" s="403">
        <v>6997</v>
      </c>
      <c r="B3499" s="403">
        <v>7</v>
      </c>
      <c r="C3499" s="166">
        <v>680</v>
      </c>
      <c r="D3499" s="166">
        <v>340</v>
      </c>
      <c r="E3499" s="166" t="s">
        <v>1108</v>
      </c>
      <c r="F3499" s="166">
        <v>1648.3206367924527</v>
      </c>
    </row>
    <row r="3500" spans="1:6">
      <c r="A3500" s="403">
        <v>7000</v>
      </c>
      <c r="B3500" s="403">
        <v>26</v>
      </c>
      <c r="C3500" s="166">
        <v>2049</v>
      </c>
      <c r="D3500" s="166">
        <v>29</v>
      </c>
      <c r="E3500" s="166" t="s">
        <v>1106</v>
      </c>
      <c r="F3500" s="166">
        <v>359.92992125984131</v>
      </c>
    </row>
    <row r="3501" spans="1:6">
      <c r="A3501" s="403">
        <v>7001</v>
      </c>
      <c r="B3501" s="403">
        <v>26</v>
      </c>
      <c r="C3501" s="166">
        <v>2049</v>
      </c>
      <c r="D3501" s="166">
        <v>29</v>
      </c>
      <c r="E3501" s="166" t="s">
        <v>1106</v>
      </c>
      <c r="F3501" s="166">
        <v>359.92992125984131</v>
      </c>
    </row>
    <row r="3502" spans="1:6">
      <c r="A3502" s="403">
        <v>7002</v>
      </c>
      <c r="B3502" s="403">
        <v>26</v>
      </c>
      <c r="C3502" s="166">
        <v>2049</v>
      </c>
      <c r="D3502" s="166">
        <v>29</v>
      </c>
      <c r="E3502" s="166" t="s">
        <v>1106</v>
      </c>
      <c r="F3502" s="166">
        <v>359.92992125984131</v>
      </c>
    </row>
    <row r="3503" spans="1:6">
      <c r="A3503" s="403">
        <v>7004</v>
      </c>
      <c r="B3503" s="403">
        <v>26</v>
      </c>
      <c r="C3503" s="166">
        <v>2049</v>
      </c>
      <c r="D3503" s="166">
        <v>29</v>
      </c>
      <c r="E3503" s="166" t="s">
        <v>1106</v>
      </c>
      <c r="F3503" s="166">
        <v>359.92992125984131</v>
      </c>
    </row>
    <row r="3504" spans="1:6">
      <c r="A3504" s="403">
        <v>7005</v>
      </c>
      <c r="B3504" s="403">
        <v>26</v>
      </c>
      <c r="C3504" s="166">
        <v>2049</v>
      </c>
      <c r="D3504" s="166">
        <v>29</v>
      </c>
      <c r="E3504" s="166" t="s">
        <v>1106</v>
      </c>
      <c r="F3504" s="166">
        <v>359.92992125984131</v>
      </c>
    </row>
    <row r="3505" spans="1:6">
      <c r="A3505" s="403">
        <v>7006</v>
      </c>
      <c r="B3505" s="403">
        <v>26</v>
      </c>
      <c r="C3505" s="166">
        <v>2049</v>
      </c>
      <c r="D3505" s="166">
        <v>29</v>
      </c>
      <c r="E3505" s="166" t="s">
        <v>1106</v>
      </c>
      <c r="F3505" s="166">
        <v>359.92992125984131</v>
      </c>
    </row>
    <row r="3506" spans="1:6">
      <c r="A3506" s="403">
        <v>7007</v>
      </c>
      <c r="B3506" s="403">
        <v>26</v>
      </c>
      <c r="C3506" s="166">
        <v>2049</v>
      </c>
      <c r="D3506" s="166">
        <v>29</v>
      </c>
      <c r="E3506" s="166" t="s">
        <v>1106</v>
      </c>
      <c r="F3506" s="166">
        <v>359.92992125984131</v>
      </c>
    </row>
    <row r="3507" spans="1:6">
      <c r="A3507" s="403">
        <v>7008</v>
      </c>
      <c r="B3507" s="403">
        <v>26</v>
      </c>
      <c r="C3507" s="166">
        <v>2049</v>
      </c>
      <c r="D3507" s="166">
        <v>29</v>
      </c>
      <c r="E3507" s="166" t="s">
        <v>1106</v>
      </c>
      <c r="F3507" s="166">
        <v>359.92992125984131</v>
      </c>
    </row>
    <row r="3508" spans="1:6">
      <c r="A3508" s="403">
        <v>7009</v>
      </c>
      <c r="B3508" s="403">
        <v>26</v>
      </c>
      <c r="C3508" s="166">
        <v>2049</v>
      </c>
      <c r="D3508" s="166">
        <v>29</v>
      </c>
      <c r="E3508" s="166" t="s">
        <v>1106</v>
      </c>
      <c r="F3508" s="166">
        <v>359.92992125984131</v>
      </c>
    </row>
    <row r="3509" spans="1:6">
      <c r="A3509" s="403">
        <v>7010</v>
      </c>
      <c r="B3509" s="403">
        <v>26</v>
      </c>
      <c r="C3509" s="166">
        <v>2049</v>
      </c>
      <c r="D3509" s="166">
        <v>29</v>
      </c>
      <c r="E3509" s="166" t="s">
        <v>1106</v>
      </c>
      <c r="F3509" s="166">
        <v>359.92992125984131</v>
      </c>
    </row>
    <row r="3510" spans="1:6">
      <c r="A3510" s="403">
        <v>7011</v>
      </c>
      <c r="B3510" s="403">
        <v>26</v>
      </c>
      <c r="C3510" s="166">
        <v>2049</v>
      </c>
      <c r="D3510" s="166">
        <v>29</v>
      </c>
      <c r="E3510" s="166" t="s">
        <v>1106</v>
      </c>
      <c r="F3510" s="166">
        <v>359.92992125984131</v>
      </c>
    </row>
    <row r="3511" spans="1:6">
      <c r="A3511" s="403">
        <v>7012</v>
      </c>
      <c r="B3511" s="403">
        <v>26</v>
      </c>
      <c r="C3511" s="166">
        <v>2049</v>
      </c>
      <c r="D3511" s="166">
        <v>29</v>
      </c>
      <c r="E3511" s="166" t="s">
        <v>1106</v>
      </c>
      <c r="F3511" s="166">
        <v>359.92992125984131</v>
      </c>
    </row>
    <row r="3512" spans="1:6">
      <c r="A3512" s="403">
        <v>7015</v>
      </c>
      <c r="B3512" s="403">
        <v>26</v>
      </c>
      <c r="C3512" s="166">
        <v>2049</v>
      </c>
      <c r="D3512" s="166">
        <v>29</v>
      </c>
      <c r="E3512" s="166" t="s">
        <v>1106</v>
      </c>
      <c r="F3512" s="166">
        <v>359.92992125984131</v>
      </c>
    </row>
    <row r="3513" spans="1:6">
      <c r="A3513" s="403">
        <v>7016</v>
      </c>
      <c r="B3513" s="403">
        <v>26</v>
      </c>
      <c r="C3513" s="166">
        <v>2049</v>
      </c>
      <c r="D3513" s="166">
        <v>29</v>
      </c>
      <c r="E3513" s="166" t="s">
        <v>1106</v>
      </c>
      <c r="F3513" s="166">
        <v>359.92992125984131</v>
      </c>
    </row>
    <row r="3514" spans="1:6">
      <c r="A3514" s="403">
        <v>7017</v>
      </c>
      <c r="B3514" s="403">
        <v>26</v>
      </c>
      <c r="C3514" s="166">
        <v>2049</v>
      </c>
      <c r="D3514" s="166">
        <v>29</v>
      </c>
      <c r="E3514" s="166" t="s">
        <v>1106</v>
      </c>
      <c r="F3514" s="166">
        <v>359.92992125984131</v>
      </c>
    </row>
    <row r="3515" spans="1:6">
      <c r="A3515" s="403">
        <v>7018</v>
      </c>
      <c r="B3515" s="403">
        <v>26</v>
      </c>
      <c r="C3515" s="166">
        <v>2049</v>
      </c>
      <c r="D3515" s="166">
        <v>29</v>
      </c>
      <c r="E3515" s="166" t="s">
        <v>1106</v>
      </c>
      <c r="F3515" s="166">
        <v>359.92992125984131</v>
      </c>
    </row>
    <row r="3516" spans="1:6">
      <c r="A3516" s="403">
        <v>7019</v>
      </c>
      <c r="B3516" s="403">
        <v>26</v>
      </c>
      <c r="C3516" s="166">
        <v>2049</v>
      </c>
      <c r="D3516" s="166">
        <v>29</v>
      </c>
      <c r="E3516" s="166" t="s">
        <v>1106</v>
      </c>
      <c r="F3516" s="166">
        <v>359.92992125984131</v>
      </c>
    </row>
    <row r="3517" spans="1:6">
      <c r="A3517" s="403">
        <v>7020</v>
      </c>
      <c r="B3517" s="403">
        <v>26</v>
      </c>
      <c r="C3517" s="166">
        <v>2049</v>
      </c>
      <c r="D3517" s="166">
        <v>29</v>
      </c>
      <c r="E3517" s="166" t="s">
        <v>1106</v>
      </c>
      <c r="F3517" s="166">
        <v>359.92992125984131</v>
      </c>
    </row>
    <row r="3518" spans="1:6">
      <c r="A3518" s="403">
        <v>7021</v>
      </c>
      <c r="B3518" s="403">
        <v>26</v>
      </c>
      <c r="C3518" s="166">
        <v>2049</v>
      </c>
      <c r="D3518" s="166">
        <v>29</v>
      </c>
      <c r="E3518" s="166" t="s">
        <v>1106</v>
      </c>
      <c r="F3518" s="166">
        <v>359.92992125984131</v>
      </c>
    </row>
    <row r="3519" spans="1:6">
      <c r="A3519" s="403">
        <v>7022</v>
      </c>
      <c r="B3519" s="403">
        <v>26</v>
      </c>
      <c r="C3519" s="166">
        <v>2049</v>
      </c>
      <c r="D3519" s="166">
        <v>29</v>
      </c>
      <c r="E3519" s="166" t="s">
        <v>1106</v>
      </c>
      <c r="F3519" s="166">
        <v>359.92992125984131</v>
      </c>
    </row>
    <row r="3520" spans="1:6">
      <c r="A3520" s="403">
        <v>7023</v>
      </c>
      <c r="B3520" s="403">
        <v>26</v>
      </c>
      <c r="C3520" s="166">
        <v>2049</v>
      </c>
      <c r="D3520" s="166">
        <v>29</v>
      </c>
      <c r="E3520" s="166" t="s">
        <v>1106</v>
      </c>
      <c r="F3520" s="166">
        <v>359.92992125984131</v>
      </c>
    </row>
    <row r="3521" spans="1:6">
      <c r="A3521" s="403">
        <v>7024</v>
      </c>
      <c r="B3521" s="403">
        <v>26</v>
      </c>
      <c r="C3521" s="166">
        <v>2049</v>
      </c>
      <c r="D3521" s="166">
        <v>29</v>
      </c>
      <c r="E3521" s="166" t="s">
        <v>1106</v>
      </c>
      <c r="F3521" s="166">
        <v>359.92992125984131</v>
      </c>
    </row>
    <row r="3522" spans="1:6">
      <c r="A3522" s="403">
        <v>7025</v>
      </c>
      <c r="B3522" s="403">
        <v>26</v>
      </c>
      <c r="C3522" s="166">
        <v>2049</v>
      </c>
      <c r="D3522" s="166">
        <v>29</v>
      </c>
      <c r="E3522" s="166" t="s">
        <v>1106</v>
      </c>
      <c r="F3522" s="166">
        <v>359.92992125984131</v>
      </c>
    </row>
    <row r="3523" spans="1:6">
      <c r="A3523" s="403">
        <v>7026</v>
      </c>
      <c r="B3523" s="403">
        <v>26</v>
      </c>
      <c r="C3523" s="166">
        <v>2049</v>
      </c>
      <c r="D3523" s="166">
        <v>29</v>
      </c>
      <c r="E3523" s="166" t="s">
        <v>1106</v>
      </c>
      <c r="F3523" s="166">
        <v>359.92992125984131</v>
      </c>
    </row>
    <row r="3524" spans="1:6">
      <c r="A3524" s="403">
        <v>7027</v>
      </c>
      <c r="B3524" s="403">
        <v>26</v>
      </c>
      <c r="C3524" s="166">
        <v>2049</v>
      </c>
      <c r="D3524" s="166">
        <v>29</v>
      </c>
      <c r="E3524" s="166" t="s">
        <v>1106</v>
      </c>
      <c r="F3524" s="166">
        <v>359.92992125984131</v>
      </c>
    </row>
    <row r="3525" spans="1:6">
      <c r="A3525" s="403">
        <v>7030</v>
      </c>
      <c r="B3525" s="403">
        <v>26</v>
      </c>
      <c r="C3525" s="166">
        <v>2049</v>
      </c>
      <c r="D3525" s="166">
        <v>29</v>
      </c>
      <c r="E3525" s="166" t="s">
        <v>1106</v>
      </c>
      <c r="F3525" s="166">
        <v>359.92992125984131</v>
      </c>
    </row>
    <row r="3526" spans="1:6">
      <c r="A3526" s="403">
        <v>7050</v>
      </c>
      <c r="B3526" s="403">
        <v>26</v>
      </c>
      <c r="C3526" s="166">
        <v>2049</v>
      </c>
      <c r="D3526" s="166">
        <v>29</v>
      </c>
      <c r="E3526" s="166" t="s">
        <v>1106</v>
      </c>
      <c r="F3526" s="166">
        <v>359.92992125984131</v>
      </c>
    </row>
    <row r="3527" spans="1:6">
      <c r="A3527" s="403">
        <v>7051</v>
      </c>
      <c r="B3527" s="403">
        <v>26</v>
      </c>
      <c r="C3527" s="166">
        <v>2049</v>
      </c>
      <c r="D3527" s="166">
        <v>29</v>
      </c>
      <c r="E3527" s="166" t="s">
        <v>1106</v>
      </c>
      <c r="F3527" s="166">
        <v>359.92992125984131</v>
      </c>
    </row>
    <row r="3528" spans="1:6">
      <c r="A3528" s="403">
        <v>7052</v>
      </c>
      <c r="B3528" s="403">
        <v>26</v>
      </c>
      <c r="C3528" s="166">
        <v>2049</v>
      </c>
      <c r="D3528" s="166">
        <v>29</v>
      </c>
      <c r="E3528" s="166" t="s">
        <v>1106</v>
      </c>
      <c r="F3528" s="166">
        <v>359.92992125984131</v>
      </c>
    </row>
    <row r="3529" spans="1:6">
      <c r="A3529" s="403">
        <v>7053</v>
      </c>
      <c r="B3529" s="403">
        <v>26</v>
      </c>
      <c r="C3529" s="166">
        <v>2049</v>
      </c>
      <c r="D3529" s="166">
        <v>29</v>
      </c>
      <c r="E3529" s="166" t="s">
        <v>1106</v>
      </c>
      <c r="F3529" s="166">
        <v>359.92992125984131</v>
      </c>
    </row>
    <row r="3530" spans="1:6">
      <c r="A3530" s="403">
        <v>7054</v>
      </c>
      <c r="B3530" s="403">
        <v>26</v>
      </c>
      <c r="C3530" s="166">
        <v>2049</v>
      </c>
      <c r="D3530" s="166">
        <v>29</v>
      </c>
      <c r="E3530" s="166" t="s">
        <v>1106</v>
      </c>
      <c r="F3530" s="166">
        <v>359.92992125984131</v>
      </c>
    </row>
    <row r="3531" spans="1:6">
      <c r="A3531" s="403">
        <v>7055</v>
      </c>
      <c r="B3531" s="403">
        <v>26</v>
      </c>
      <c r="C3531" s="166">
        <v>2049</v>
      </c>
      <c r="D3531" s="166">
        <v>29</v>
      </c>
      <c r="E3531" s="166" t="s">
        <v>1106</v>
      </c>
      <c r="F3531" s="166">
        <v>359.92992125984131</v>
      </c>
    </row>
    <row r="3532" spans="1:6">
      <c r="A3532" s="403">
        <v>7109</v>
      </c>
      <c r="B3532" s="403">
        <v>26</v>
      </c>
      <c r="C3532" s="166">
        <v>2049</v>
      </c>
      <c r="D3532" s="166">
        <v>29</v>
      </c>
      <c r="E3532" s="166" t="s">
        <v>1106</v>
      </c>
      <c r="F3532" s="166">
        <v>359.92992125984131</v>
      </c>
    </row>
    <row r="3533" spans="1:6">
      <c r="A3533" s="403">
        <v>7112</v>
      </c>
      <c r="B3533" s="403">
        <v>26</v>
      </c>
      <c r="C3533" s="166">
        <v>2049</v>
      </c>
      <c r="D3533" s="166">
        <v>29</v>
      </c>
      <c r="E3533" s="166" t="s">
        <v>1106</v>
      </c>
      <c r="F3533" s="166">
        <v>359.92992125984131</v>
      </c>
    </row>
    <row r="3534" spans="1:6">
      <c r="A3534" s="403">
        <v>7113</v>
      </c>
      <c r="B3534" s="403">
        <v>26</v>
      </c>
      <c r="C3534" s="166">
        <v>2049</v>
      </c>
      <c r="D3534" s="166">
        <v>29</v>
      </c>
      <c r="E3534" s="166" t="s">
        <v>1106</v>
      </c>
      <c r="F3534" s="166">
        <v>359.92992125984131</v>
      </c>
    </row>
    <row r="3535" spans="1:6">
      <c r="A3535" s="403">
        <v>7116</v>
      </c>
      <c r="B3535" s="403">
        <v>26</v>
      </c>
      <c r="C3535" s="166">
        <v>2049</v>
      </c>
      <c r="D3535" s="166">
        <v>29</v>
      </c>
      <c r="E3535" s="166" t="s">
        <v>1106</v>
      </c>
      <c r="F3535" s="166">
        <v>359.92992125984131</v>
      </c>
    </row>
    <row r="3536" spans="1:6">
      <c r="A3536" s="403">
        <v>7117</v>
      </c>
      <c r="B3536" s="403">
        <v>26</v>
      </c>
      <c r="C3536" s="166">
        <v>2049</v>
      </c>
      <c r="D3536" s="166">
        <v>29</v>
      </c>
      <c r="E3536" s="166" t="s">
        <v>1106</v>
      </c>
      <c r="F3536" s="166">
        <v>359.92992125984131</v>
      </c>
    </row>
    <row r="3537" spans="1:6">
      <c r="A3537" s="403">
        <v>7119</v>
      </c>
      <c r="B3537" s="403">
        <v>25</v>
      </c>
      <c r="C3537" s="166">
        <v>2421</v>
      </c>
      <c r="D3537" s="166">
        <v>25</v>
      </c>
      <c r="E3537" s="166" t="s">
        <v>1106</v>
      </c>
      <c r="F3537" s="166">
        <v>657.92700000000173</v>
      </c>
    </row>
    <row r="3538" spans="1:6">
      <c r="A3538" s="403">
        <v>7120</v>
      </c>
      <c r="B3538" s="403">
        <v>25</v>
      </c>
      <c r="C3538" s="166">
        <v>2421</v>
      </c>
      <c r="D3538" s="166">
        <v>25</v>
      </c>
      <c r="E3538" s="166" t="s">
        <v>1106</v>
      </c>
      <c r="F3538" s="166">
        <v>657.92700000000173</v>
      </c>
    </row>
    <row r="3539" spans="1:6">
      <c r="A3539" s="403">
        <v>7139</v>
      </c>
      <c r="B3539" s="403">
        <v>23</v>
      </c>
      <c r="C3539" s="166">
        <v>2516</v>
      </c>
      <c r="D3539" s="166">
        <v>48</v>
      </c>
      <c r="E3539" s="166" t="s">
        <v>1106</v>
      </c>
      <c r="F3539" s="166">
        <v>359.92992125984256</v>
      </c>
    </row>
    <row r="3540" spans="1:6">
      <c r="A3540" s="403">
        <v>7140</v>
      </c>
      <c r="B3540" s="403">
        <v>26</v>
      </c>
      <c r="C3540" s="166">
        <v>2049</v>
      </c>
      <c r="D3540" s="166">
        <v>29</v>
      </c>
      <c r="E3540" s="166" t="s">
        <v>1106</v>
      </c>
      <c r="F3540" s="166">
        <v>359.92992125984131</v>
      </c>
    </row>
    <row r="3541" spans="1:6">
      <c r="A3541" s="403">
        <v>7150</v>
      </c>
      <c r="B3541" s="403">
        <v>26</v>
      </c>
      <c r="C3541" s="166">
        <v>2049</v>
      </c>
      <c r="D3541" s="166">
        <v>29</v>
      </c>
      <c r="E3541" s="166" t="s">
        <v>1106</v>
      </c>
      <c r="F3541" s="166">
        <v>359.92992125984131</v>
      </c>
    </row>
    <row r="3542" spans="1:6">
      <c r="A3542" s="403">
        <v>7151</v>
      </c>
      <c r="B3542" s="403">
        <v>26</v>
      </c>
      <c r="C3542" s="166">
        <v>2049</v>
      </c>
      <c r="D3542" s="166">
        <v>29</v>
      </c>
      <c r="E3542" s="166" t="s">
        <v>1106</v>
      </c>
      <c r="F3542" s="166">
        <v>359.92992125984131</v>
      </c>
    </row>
    <row r="3543" spans="1:6">
      <c r="A3543" s="403">
        <v>7155</v>
      </c>
      <c r="B3543" s="403">
        <v>26</v>
      </c>
      <c r="C3543" s="166">
        <v>2049</v>
      </c>
      <c r="D3543" s="166">
        <v>29</v>
      </c>
      <c r="E3543" s="166" t="s">
        <v>1106</v>
      </c>
      <c r="F3543" s="166">
        <v>359.92992125984131</v>
      </c>
    </row>
    <row r="3544" spans="1:6">
      <c r="A3544" s="403">
        <v>7162</v>
      </c>
      <c r="B3544" s="403">
        <v>26</v>
      </c>
      <c r="C3544" s="166">
        <v>2049</v>
      </c>
      <c r="D3544" s="166">
        <v>29</v>
      </c>
      <c r="E3544" s="166" t="s">
        <v>1106</v>
      </c>
      <c r="F3544" s="166">
        <v>359.92992125984131</v>
      </c>
    </row>
    <row r="3545" spans="1:6">
      <c r="A3545" s="403">
        <v>7163</v>
      </c>
      <c r="B3545" s="403">
        <v>26</v>
      </c>
      <c r="C3545" s="166">
        <v>2049</v>
      </c>
      <c r="D3545" s="166">
        <v>29</v>
      </c>
      <c r="E3545" s="166" t="s">
        <v>1106</v>
      </c>
      <c r="F3545" s="166">
        <v>359.92992125984131</v>
      </c>
    </row>
    <row r="3546" spans="1:6">
      <c r="A3546" s="403">
        <v>7170</v>
      </c>
      <c r="B3546" s="403">
        <v>26</v>
      </c>
      <c r="C3546" s="166">
        <v>2049</v>
      </c>
      <c r="D3546" s="166">
        <v>29</v>
      </c>
      <c r="E3546" s="166" t="s">
        <v>1106</v>
      </c>
      <c r="F3546" s="166">
        <v>359.92992125984131</v>
      </c>
    </row>
    <row r="3547" spans="1:6">
      <c r="A3547" s="403">
        <v>7171</v>
      </c>
      <c r="B3547" s="403">
        <v>26</v>
      </c>
      <c r="C3547" s="166">
        <v>2049</v>
      </c>
      <c r="D3547" s="166">
        <v>29</v>
      </c>
      <c r="E3547" s="166" t="s">
        <v>1106</v>
      </c>
      <c r="F3547" s="166">
        <v>359.92992125984131</v>
      </c>
    </row>
    <row r="3548" spans="1:6">
      <c r="A3548" s="403">
        <v>7172</v>
      </c>
      <c r="B3548" s="403">
        <v>26</v>
      </c>
      <c r="C3548" s="166">
        <v>2049</v>
      </c>
      <c r="D3548" s="166">
        <v>29</v>
      </c>
      <c r="E3548" s="166" t="s">
        <v>1106</v>
      </c>
      <c r="F3548" s="166">
        <v>359.92992125984131</v>
      </c>
    </row>
    <row r="3549" spans="1:6">
      <c r="A3549" s="403">
        <v>7173</v>
      </c>
      <c r="B3549" s="403">
        <v>26</v>
      </c>
      <c r="C3549" s="166">
        <v>2049</v>
      </c>
      <c r="D3549" s="166">
        <v>29</v>
      </c>
      <c r="E3549" s="166" t="s">
        <v>1106</v>
      </c>
      <c r="F3549" s="166">
        <v>359.92992125984131</v>
      </c>
    </row>
    <row r="3550" spans="1:6">
      <c r="A3550" s="403">
        <v>7174</v>
      </c>
      <c r="B3550" s="403">
        <v>26</v>
      </c>
      <c r="C3550" s="166">
        <v>2049</v>
      </c>
      <c r="D3550" s="166">
        <v>29</v>
      </c>
      <c r="E3550" s="166" t="s">
        <v>1106</v>
      </c>
      <c r="F3550" s="166">
        <v>359.92992125984131</v>
      </c>
    </row>
    <row r="3551" spans="1:6">
      <c r="A3551" s="403">
        <v>7175</v>
      </c>
      <c r="B3551" s="403">
        <v>26</v>
      </c>
      <c r="C3551" s="166">
        <v>2049</v>
      </c>
      <c r="D3551" s="166">
        <v>29</v>
      </c>
      <c r="E3551" s="166" t="s">
        <v>1106</v>
      </c>
      <c r="F3551" s="166">
        <v>359.92992125984131</v>
      </c>
    </row>
    <row r="3552" spans="1:6">
      <c r="A3552" s="403">
        <v>7176</v>
      </c>
      <c r="B3552" s="403">
        <v>26</v>
      </c>
      <c r="C3552" s="166">
        <v>2049</v>
      </c>
      <c r="D3552" s="166">
        <v>29</v>
      </c>
      <c r="E3552" s="166" t="s">
        <v>1106</v>
      </c>
      <c r="F3552" s="166">
        <v>359.92992125984131</v>
      </c>
    </row>
    <row r="3553" spans="1:6">
      <c r="A3553" s="403">
        <v>7177</v>
      </c>
      <c r="B3553" s="403">
        <v>26</v>
      </c>
      <c r="C3553" s="166">
        <v>2049</v>
      </c>
      <c r="D3553" s="166">
        <v>29</v>
      </c>
      <c r="E3553" s="166" t="s">
        <v>1106</v>
      </c>
      <c r="F3553" s="166">
        <v>359.92992125984131</v>
      </c>
    </row>
    <row r="3554" spans="1:6">
      <c r="A3554" s="403">
        <v>7178</v>
      </c>
      <c r="B3554" s="403">
        <v>26</v>
      </c>
      <c r="C3554" s="166">
        <v>2049</v>
      </c>
      <c r="D3554" s="166">
        <v>29</v>
      </c>
      <c r="E3554" s="166" t="s">
        <v>1106</v>
      </c>
      <c r="F3554" s="166">
        <v>359.92992125984131</v>
      </c>
    </row>
    <row r="3555" spans="1:6">
      <c r="A3555" s="403">
        <v>7179</v>
      </c>
      <c r="B3555" s="403">
        <v>26</v>
      </c>
      <c r="C3555" s="166">
        <v>2049</v>
      </c>
      <c r="D3555" s="166">
        <v>29</v>
      </c>
      <c r="E3555" s="166" t="s">
        <v>1106</v>
      </c>
      <c r="F3555" s="166">
        <v>359.92992125984131</v>
      </c>
    </row>
    <row r="3556" spans="1:6">
      <c r="A3556" s="403">
        <v>7180</v>
      </c>
      <c r="B3556" s="403">
        <v>26</v>
      </c>
      <c r="C3556" s="166">
        <v>2049</v>
      </c>
      <c r="D3556" s="166">
        <v>29</v>
      </c>
      <c r="E3556" s="166" t="s">
        <v>1106</v>
      </c>
      <c r="F3556" s="166">
        <v>359.92992125984131</v>
      </c>
    </row>
    <row r="3557" spans="1:6">
      <c r="A3557" s="403">
        <v>7182</v>
      </c>
      <c r="B3557" s="403">
        <v>26</v>
      </c>
      <c r="C3557" s="166">
        <v>2049</v>
      </c>
      <c r="D3557" s="166">
        <v>29</v>
      </c>
      <c r="E3557" s="166" t="s">
        <v>1106</v>
      </c>
      <c r="F3557" s="166">
        <v>359.92992125984131</v>
      </c>
    </row>
    <row r="3558" spans="1:6">
      <c r="A3558" s="403">
        <v>7183</v>
      </c>
      <c r="B3558" s="403">
        <v>26</v>
      </c>
      <c r="C3558" s="166">
        <v>2049</v>
      </c>
      <c r="D3558" s="166">
        <v>29</v>
      </c>
      <c r="E3558" s="166" t="s">
        <v>1106</v>
      </c>
      <c r="F3558" s="166">
        <v>359.92992125984131</v>
      </c>
    </row>
    <row r="3559" spans="1:6">
      <c r="A3559" s="403">
        <v>7184</v>
      </c>
      <c r="B3559" s="403">
        <v>26</v>
      </c>
      <c r="C3559" s="166">
        <v>2049</v>
      </c>
      <c r="D3559" s="166">
        <v>29</v>
      </c>
      <c r="E3559" s="166" t="s">
        <v>1106</v>
      </c>
      <c r="F3559" s="166">
        <v>359.92992125984131</v>
      </c>
    </row>
    <row r="3560" spans="1:6">
      <c r="A3560" s="403">
        <v>7185</v>
      </c>
      <c r="B3560" s="403">
        <v>26</v>
      </c>
      <c r="C3560" s="166">
        <v>2049</v>
      </c>
      <c r="D3560" s="166">
        <v>29</v>
      </c>
      <c r="E3560" s="166" t="s">
        <v>1106</v>
      </c>
      <c r="F3560" s="166">
        <v>359.92992125984131</v>
      </c>
    </row>
    <row r="3561" spans="1:6">
      <c r="A3561" s="403">
        <v>7186</v>
      </c>
      <c r="B3561" s="403">
        <v>26</v>
      </c>
      <c r="C3561" s="166">
        <v>2049</v>
      </c>
      <c r="D3561" s="166">
        <v>29</v>
      </c>
      <c r="E3561" s="166" t="s">
        <v>1106</v>
      </c>
      <c r="F3561" s="166">
        <v>359.92992125984131</v>
      </c>
    </row>
    <row r="3562" spans="1:6">
      <c r="A3562" s="403">
        <v>7187</v>
      </c>
      <c r="B3562" s="403">
        <v>26</v>
      </c>
      <c r="C3562" s="166">
        <v>2049</v>
      </c>
      <c r="D3562" s="166">
        <v>29</v>
      </c>
      <c r="E3562" s="166" t="s">
        <v>1106</v>
      </c>
      <c r="F3562" s="166">
        <v>359.92992125984131</v>
      </c>
    </row>
    <row r="3563" spans="1:6">
      <c r="A3563" s="403">
        <v>7190</v>
      </c>
      <c r="B3563" s="403">
        <v>28</v>
      </c>
      <c r="C3563" s="166">
        <v>1869</v>
      </c>
      <c r="D3563" s="166">
        <v>80</v>
      </c>
      <c r="E3563" s="166" t="s">
        <v>1106</v>
      </c>
      <c r="F3563" s="166">
        <v>659.84554263565917</v>
      </c>
    </row>
    <row r="3564" spans="1:6">
      <c r="A3564" s="403">
        <v>7209</v>
      </c>
      <c r="B3564" s="403">
        <v>25</v>
      </c>
      <c r="C3564" s="166">
        <v>2421</v>
      </c>
      <c r="D3564" s="166">
        <v>25</v>
      </c>
      <c r="E3564" s="166" t="s">
        <v>1106</v>
      </c>
      <c r="F3564" s="166">
        <v>657.92700000000173</v>
      </c>
    </row>
    <row r="3565" spans="1:6">
      <c r="A3565" s="403">
        <v>7210</v>
      </c>
      <c r="B3565" s="403">
        <v>25</v>
      </c>
      <c r="C3565" s="166">
        <v>2421</v>
      </c>
      <c r="D3565" s="166">
        <v>25</v>
      </c>
      <c r="E3565" s="166" t="s">
        <v>1106</v>
      </c>
      <c r="F3565" s="166">
        <v>657.92700000000173</v>
      </c>
    </row>
    <row r="3566" spans="1:6">
      <c r="A3566" s="403">
        <v>7211</v>
      </c>
      <c r="B3566" s="403">
        <v>25</v>
      </c>
      <c r="C3566" s="166">
        <v>2421</v>
      </c>
      <c r="D3566" s="166">
        <v>25</v>
      </c>
      <c r="E3566" s="166" t="s">
        <v>1106</v>
      </c>
      <c r="F3566" s="166">
        <v>657.92700000000173</v>
      </c>
    </row>
    <row r="3567" spans="1:6">
      <c r="A3567" s="403">
        <v>7212</v>
      </c>
      <c r="B3567" s="403">
        <v>25</v>
      </c>
      <c r="C3567" s="166">
        <v>2421</v>
      </c>
      <c r="D3567" s="166">
        <v>25</v>
      </c>
      <c r="E3567" s="166" t="s">
        <v>1106</v>
      </c>
      <c r="F3567" s="166">
        <v>657.92700000000173</v>
      </c>
    </row>
    <row r="3568" spans="1:6">
      <c r="A3568" s="403">
        <v>7213</v>
      </c>
      <c r="B3568" s="403">
        <v>28</v>
      </c>
      <c r="C3568" s="166">
        <v>1869</v>
      </c>
      <c r="D3568" s="166">
        <v>80</v>
      </c>
      <c r="E3568" s="166" t="s">
        <v>1106</v>
      </c>
      <c r="F3568" s="166">
        <v>659.84554263565917</v>
      </c>
    </row>
    <row r="3569" spans="1:6">
      <c r="A3569" s="403">
        <v>7214</v>
      </c>
      <c r="B3569" s="403">
        <v>28</v>
      </c>
      <c r="C3569" s="166">
        <v>1869</v>
      </c>
      <c r="D3569" s="166">
        <v>80</v>
      </c>
      <c r="E3569" s="166" t="s">
        <v>1106</v>
      </c>
      <c r="F3569" s="166">
        <v>659.84554263565917</v>
      </c>
    </row>
    <row r="3570" spans="1:6">
      <c r="A3570" s="403">
        <v>7215</v>
      </c>
      <c r="B3570" s="403">
        <v>28</v>
      </c>
      <c r="C3570" s="166">
        <v>1869</v>
      </c>
      <c r="D3570" s="166">
        <v>80</v>
      </c>
      <c r="E3570" s="166" t="s">
        <v>1106</v>
      </c>
      <c r="F3570" s="166">
        <v>659.84554263565917</v>
      </c>
    </row>
    <row r="3571" spans="1:6">
      <c r="A3571" s="403">
        <v>7216</v>
      </c>
      <c r="B3571" s="403">
        <v>27</v>
      </c>
      <c r="C3571" s="166">
        <v>1903</v>
      </c>
      <c r="D3571" s="166">
        <v>137</v>
      </c>
      <c r="E3571" s="166" t="s">
        <v>1106</v>
      </c>
      <c r="F3571" s="166">
        <v>657.92699999999991</v>
      </c>
    </row>
    <row r="3572" spans="1:6">
      <c r="A3572" s="403">
        <v>7248</v>
      </c>
      <c r="B3572" s="403">
        <v>25</v>
      </c>
      <c r="C3572" s="166">
        <v>2421</v>
      </c>
      <c r="D3572" s="166">
        <v>25</v>
      </c>
      <c r="E3572" s="166" t="s">
        <v>1106</v>
      </c>
      <c r="F3572" s="166">
        <v>657.92700000000173</v>
      </c>
    </row>
    <row r="3573" spans="1:6">
      <c r="A3573" s="403">
        <v>7249</v>
      </c>
      <c r="B3573" s="403">
        <v>25</v>
      </c>
      <c r="C3573" s="166">
        <v>2421</v>
      </c>
      <c r="D3573" s="166">
        <v>25</v>
      </c>
      <c r="E3573" s="166" t="s">
        <v>1106</v>
      </c>
      <c r="F3573" s="166">
        <v>657.92700000000173</v>
      </c>
    </row>
    <row r="3574" spans="1:6">
      <c r="A3574" s="403">
        <v>7250</v>
      </c>
      <c r="B3574" s="403">
        <v>25</v>
      </c>
      <c r="C3574" s="166">
        <v>2421</v>
      </c>
      <c r="D3574" s="166">
        <v>25</v>
      </c>
      <c r="E3574" s="166" t="s">
        <v>1106</v>
      </c>
      <c r="F3574" s="166">
        <v>657.92700000000173</v>
      </c>
    </row>
    <row r="3575" spans="1:6">
      <c r="A3575" s="403">
        <v>7252</v>
      </c>
      <c r="B3575" s="403">
        <v>25</v>
      </c>
      <c r="C3575" s="166">
        <v>2421</v>
      </c>
      <c r="D3575" s="166">
        <v>25</v>
      </c>
      <c r="E3575" s="166" t="s">
        <v>1106</v>
      </c>
      <c r="F3575" s="166">
        <v>657.92700000000173</v>
      </c>
    </row>
    <row r="3576" spans="1:6">
      <c r="A3576" s="403">
        <v>7253</v>
      </c>
      <c r="B3576" s="403">
        <v>25</v>
      </c>
      <c r="C3576" s="166">
        <v>2421</v>
      </c>
      <c r="D3576" s="166">
        <v>25</v>
      </c>
      <c r="E3576" s="166" t="s">
        <v>1106</v>
      </c>
      <c r="F3576" s="166">
        <v>657.92700000000173</v>
      </c>
    </row>
    <row r="3577" spans="1:6">
      <c r="A3577" s="403">
        <v>7254</v>
      </c>
      <c r="B3577" s="403">
        <v>25</v>
      </c>
      <c r="C3577" s="166">
        <v>2421</v>
      </c>
      <c r="D3577" s="166">
        <v>25</v>
      </c>
      <c r="E3577" s="166" t="s">
        <v>1106</v>
      </c>
      <c r="F3577" s="166">
        <v>657.92700000000173</v>
      </c>
    </row>
    <row r="3578" spans="1:6">
      <c r="A3578" s="403">
        <v>7255</v>
      </c>
      <c r="B3578" s="403">
        <v>27</v>
      </c>
      <c r="C3578" s="166">
        <v>1903</v>
      </c>
      <c r="D3578" s="166">
        <v>137</v>
      </c>
      <c r="E3578" s="166" t="s">
        <v>1106</v>
      </c>
      <c r="F3578" s="166">
        <v>657.92699999999991</v>
      </c>
    </row>
    <row r="3579" spans="1:6">
      <c r="A3579" s="403">
        <v>7256</v>
      </c>
      <c r="B3579" s="403">
        <v>22</v>
      </c>
      <c r="C3579" s="166">
        <v>1997</v>
      </c>
      <c r="D3579" s="166">
        <v>52</v>
      </c>
      <c r="E3579" s="166" t="s">
        <v>1106</v>
      </c>
      <c r="F3579" s="166">
        <v>659.84554263565929</v>
      </c>
    </row>
    <row r="3580" spans="1:6">
      <c r="A3580" s="403">
        <v>7257</v>
      </c>
      <c r="B3580" s="403">
        <v>27</v>
      </c>
      <c r="C3580" s="166">
        <v>1903</v>
      </c>
      <c r="D3580" s="166">
        <v>137</v>
      </c>
      <c r="E3580" s="166" t="s">
        <v>1106</v>
      </c>
      <c r="F3580" s="166">
        <v>657.92699999999991</v>
      </c>
    </row>
    <row r="3581" spans="1:6">
      <c r="A3581" s="403">
        <v>7258</v>
      </c>
      <c r="B3581" s="403">
        <v>25</v>
      </c>
      <c r="C3581" s="166">
        <v>2421</v>
      </c>
      <c r="D3581" s="166">
        <v>25</v>
      </c>
      <c r="E3581" s="166" t="s">
        <v>1106</v>
      </c>
      <c r="F3581" s="166">
        <v>657.92700000000173</v>
      </c>
    </row>
    <row r="3582" spans="1:6">
      <c r="A3582" s="403">
        <v>7259</v>
      </c>
      <c r="B3582" s="403">
        <v>25</v>
      </c>
      <c r="C3582" s="166">
        <v>2421</v>
      </c>
      <c r="D3582" s="166">
        <v>25</v>
      </c>
      <c r="E3582" s="166" t="s">
        <v>1106</v>
      </c>
      <c r="F3582" s="166">
        <v>657.92700000000173</v>
      </c>
    </row>
    <row r="3583" spans="1:6">
      <c r="A3583" s="403">
        <v>7260</v>
      </c>
      <c r="B3583" s="403">
        <v>27</v>
      </c>
      <c r="C3583" s="166">
        <v>1903</v>
      </c>
      <c r="D3583" s="166">
        <v>137</v>
      </c>
      <c r="E3583" s="166" t="s">
        <v>1106</v>
      </c>
      <c r="F3583" s="166">
        <v>657.92699999999991</v>
      </c>
    </row>
    <row r="3584" spans="1:6">
      <c r="A3584" s="403">
        <v>7261</v>
      </c>
      <c r="B3584" s="403">
        <v>27</v>
      </c>
      <c r="C3584" s="166">
        <v>1903</v>
      </c>
      <c r="D3584" s="166">
        <v>137</v>
      </c>
      <c r="E3584" s="166" t="s">
        <v>1106</v>
      </c>
      <c r="F3584" s="166">
        <v>657.92699999999991</v>
      </c>
    </row>
    <row r="3585" spans="1:6">
      <c r="A3585" s="403">
        <v>7262</v>
      </c>
      <c r="B3585" s="403">
        <v>27</v>
      </c>
      <c r="C3585" s="166">
        <v>1903</v>
      </c>
      <c r="D3585" s="166">
        <v>137</v>
      </c>
      <c r="E3585" s="166" t="s">
        <v>1106</v>
      </c>
      <c r="F3585" s="166">
        <v>657.92699999999991</v>
      </c>
    </row>
    <row r="3586" spans="1:6">
      <c r="A3586" s="403">
        <v>7263</v>
      </c>
      <c r="B3586" s="403">
        <v>27</v>
      </c>
      <c r="C3586" s="166">
        <v>1903</v>
      </c>
      <c r="D3586" s="166">
        <v>137</v>
      </c>
      <c r="E3586" s="166" t="s">
        <v>1106</v>
      </c>
      <c r="F3586" s="166">
        <v>657.92699999999991</v>
      </c>
    </row>
    <row r="3587" spans="1:6">
      <c r="A3587" s="403">
        <v>7264</v>
      </c>
      <c r="B3587" s="403">
        <v>27</v>
      </c>
      <c r="C3587" s="166">
        <v>1903</v>
      </c>
      <c r="D3587" s="166">
        <v>137</v>
      </c>
      <c r="E3587" s="166" t="s">
        <v>1106</v>
      </c>
      <c r="F3587" s="166">
        <v>657.92699999999991</v>
      </c>
    </row>
    <row r="3588" spans="1:6">
      <c r="A3588" s="403">
        <v>7265</v>
      </c>
      <c r="B3588" s="403">
        <v>27</v>
      </c>
      <c r="C3588" s="166">
        <v>1903</v>
      </c>
      <c r="D3588" s="166">
        <v>137</v>
      </c>
      <c r="E3588" s="166" t="s">
        <v>1106</v>
      </c>
      <c r="F3588" s="166">
        <v>657.92699999999991</v>
      </c>
    </row>
    <row r="3589" spans="1:6">
      <c r="A3589" s="403">
        <v>7267</v>
      </c>
      <c r="B3589" s="403">
        <v>25</v>
      </c>
      <c r="C3589" s="166">
        <v>2421</v>
      </c>
      <c r="D3589" s="166">
        <v>25</v>
      </c>
      <c r="E3589" s="166" t="s">
        <v>1106</v>
      </c>
      <c r="F3589" s="166">
        <v>657.92700000000173</v>
      </c>
    </row>
    <row r="3590" spans="1:6">
      <c r="A3590" s="403">
        <v>7268</v>
      </c>
      <c r="B3590" s="403">
        <v>25</v>
      </c>
      <c r="C3590" s="166">
        <v>2421</v>
      </c>
      <c r="D3590" s="166">
        <v>25</v>
      </c>
      <c r="E3590" s="166" t="s">
        <v>1106</v>
      </c>
      <c r="F3590" s="166">
        <v>657.92700000000173</v>
      </c>
    </row>
    <row r="3591" spans="1:6">
      <c r="A3591" s="403">
        <v>7270</v>
      </c>
      <c r="B3591" s="403">
        <v>25</v>
      </c>
      <c r="C3591" s="166">
        <v>2421</v>
      </c>
      <c r="D3591" s="166">
        <v>25</v>
      </c>
      <c r="E3591" s="166" t="s">
        <v>1106</v>
      </c>
      <c r="F3591" s="166">
        <v>657.92700000000173</v>
      </c>
    </row>
    <row r="3592" spans="1:6">
      <c r="A3592" s="403">
        <v>7275</v>
      </c>
      <c r="B3592" s="403">
        <v>25</v>
      </c>
      <c r="C3592" s="166">
        <v>2421</v>
      </c>
      <c r="D3592" s="166">
        <v>25</v>
      </c>
      <c r="E3592" s="166" t="s">
        <v>1106</v>
      </c>
      <c r="F3592" s="166">
        <v>657.92700000000173</v>
      </c>
    </row>
    <row r="3593" spans="1:6">
      <c r="A3593" s="403">
        <v>7276</v>
      </c>
      <c r="B3593" s="403">
        <v>25</v>
      </c>
      <c r="C3593" s="166">
        <v>2421</v>
      </c>
      <c r="D3593" s="166">
        <v>25</v>
      </c>
      <c r="E3593" s="166" t="s">
        <v>1106</v>
      </c>
      <c r="F3593" s="166">
        <v>657.92700000000173</v>
      </c>
    </row>
    <row r="3594" spans="1:6">
      <c r="A3594" s="403">
        <v>7277</v>
      </c>
      <c r="B3594" s="403">
        <v>25</v>
      </c>
      <c r="C3594" s="166">
        <v>2421</v>
      </c>
      <c r="D3594" s="166">
        <v>25</v>
      </c>
      <c r="E3594" s="166" t="s">
        <v>1106</v>
      </c>
      <c r="F3594" s="166">
        <v>657.92700000000173</v>
      </c>
    </row>
    <row r="3595" spans="1:6">
      <c r="A3595" s="403">
        <v>7290</v>
      </c>
      <c r="B3595" s="403">
        <v>25</v>
      </c>
      <c r="C3595" s="166">
        <v>2421</v>
      </c>
      <c r="D3595" s="166">
        <v>25</v>
      </c>
      <c r="E3595" s="166" t="s">
        <v>1106</v>
      </c>
      <c r="F3595" s="166">
        <v>657.92700000000173</v>
      </c>
    </row>
    <row r="3596" spans="1:6">
      <c r="A3596" s="403">
        <v>7291</v>
      </c>
      <c r="B3596" s="403">
        <v>25</v>
      </c>
      <c r="C3596" s="166">
        <v>2421</v>
      </c>
      <c r="D3596" s="166">
        <v>25</v>
      </c>
      <c r="E3596" s="166" t="s">
        <v>1106</v>
      </c>
      <c r="F3596" s="166">
        <v>657.92700000000173</v>
      </c>
    </row>
    <row r="3597" spans="1:6">
      <c r="A3597" s="403">
        <v>7292</v>
      </c>
      <c r="B3597" s="403">
        <v>25</v>
      </c>
      <c r="C3597" s="166">
        <v>2421</v>
      </c>
      <c r="D3597" s="166">
        <v>25</v>
      </c>
      <c r="E3597" s="166" t="s">
        <v>1106</v>
      </c>
      <c r="F3597" s="166">
        <v>657.92700000000173</v>
      </c>
    </row>
    <row r="3598" spans="1:6">
      <c r="A3598" s="403">
        <v>7300</v>
      </c>
      <c r="B3598" s="403">
        <v>25</v>
      </c>
      <c r="C3598" s="166">
        <v>2421</v>
      </c>
      <c r="D3598" s="166">
        <v>25</v>
      </c>
      <c r="E3598" s="166" t="s">
        <v>1106</v>
      </c>
      <c r="F3598" s="166">
        <v>657.92700000000173</v>
      </c>
    </row>
    <row r="3599" spans="1:6">
      <c r="A3599" s="403">
        <v>7301</v>
      </c>
      <c r="B3599" s="403">
        <v>25</v>
      </c>
      <c r="C3599" s="166">
        <v>2421</v>
      </c>
      <c r="D3599" s="166">
        <v>25</v>
      </c>
      <c r="E3599" s="166" t="s">
        <v>1106</v>
      </c>
      <c r="F3599" s="166">
        <v>657.92700000000173</v>
      </c>
    </row>
    <row r="3600" spans="1:6">
      <c r="A3600" s="403">
        <v>7302</v>
      </c>
      <c r="B3600" s="403">
        <v>25</v>
      </c>
      <c r="C3600" s="166">
        <v>2421</v>
      </c>
      <c r="D3600" s="166">
        <v>25</v>
      </c>
      <c r="E3600" s="166" t="s">
        <v>1106</v>
      </c>
      <c r="F3600" s="166">
        <v>657.92700000000173</v>
      </c>
    </row>
    <row r="3601" spans="1:6">
      <c r="A3601" s="403">
        <v>7303</v>
      </c>
      <c r="B3601" s="403">
        <v>25</v>
      </c>
      <c r="C3601" s="166">
        <v>2421</v>
      </c>
      <c r="D3601" s="166">
        <v>25</v>
      </c>
      <c r="E3601" s="166" t="s">
        <v>1106</v>
      </c>
      <c r="F3601" s="166">
        <v>657.92700000000173</v>
      </c>
    </row>
    <row r="3602" spans="1:6">
      <c r="A3602" s="403">
        <v>7304</v>
      </c>
      <c r="B3602" s="403">
        <v>25</v>
      </c>
      <c r="C3602" s="166">
        <v>2421</v>
      </c>
      <c r="D3602" s="166">
        <v>25</v>
      </c>
      <c r="E3602" s="166" t="s">
        <v>1106</v>
      </c>
      <c r="F3602" s="166">
        <v>657.92700000000173</v>
      </c>
    </row>
    <row r="3603" spans="1:6">
      <c r="A3603" s="403">
        <v>7305</v>
      </c>
      <c r="B3603" s="403">
        <v>22</v>
      </c>
      <c r="C3603" s="166">
        <v>1997</v>
      </c>
      <c r="D3603" s="166">
        <v>52</v>
      </c>
      <c r="E3603" s="166" t="s">
        <v>1106</v>
      </c>
      <c r="F3603" s="166">
        <v>659.84554263565929</v>
      </c>
    </row>
    <row r="3604" spans="1:6">
      <c r="A3604" s="403">
        <v>7306</v>
      </c>
      <c r="B3604" s="403">
        <v>22</v>
      </c>
      <c r="C3604" s="166">
        <v>1997</v>
      </c>
      <c r="D3604" s="166">
        <v>52</v>
      </c>
      <c r="E3604" s="166" t="s">
        <v>1106</v>
      </c>
      <c r="F3604" s="166">
        <v>659.84554263565929</v>
      </c>
    </row>
    <row r="3605" spans="1:6">
      <c r="A3605" s="403">
        <v>7307</v>
      </c>
      <c r="B3605" s="403">
        <v>22</v>
      </c>
      <c r="C3605" s="166">
        <v>1997</v>
      </c>
      <c r="D3605" s="166">
        <v>52</v>
      </c>
      <c r="E3605" s="166" t="s">
        <v>1106</v>
      </c>
      <c r="F3605" s="166">
        <v>659.84554263565929</v>
      </c>
    </row>
    <row r="3606" spans="1:6">
      <c r="A3606" s="403">
        <v>7310</v>
      </c>
      <c r="B3606" s="403">
        <v>22</v>
      </c>
      <c r="C3606" s="166">
        <v>1997</v>
      </c>
      <c r="D3606" s="166">
        <v>52</v>
      </c>
      <c r="E3606" s="166" t="s">
        <v>1106</v>
      </c>
      <c r="F3606" s="166">
        <v>659.84554263565929</v>
      </c>
    </row>
    <row r="3607" spans="1:6">
      <c r="A3607" s="403">
        <v>7315</v>
      </c>
      <c r="B3607" s="403">
        <v>22</v>
      </c>
      <c r="C3607" s="166">
        <v>1997</v>
      </c>
      <c r="D3607" s="166">
        <v>52</v>
      </c>
      <c r="E3607" s="166" t="s">
        <v>1106</v>
      </c>
      <c r="F3607" s="166">
        <v>659.84554263565929</v>
      </c>
    </row>
    <row r="3608" spans="1:6">
      <c r="A3608" s="403">
        <v>7316</v>
      </c>
      <c r="B3608" s="403">
        <v>22</v>
      </c>
      <c r="C3608" s="166">
        <v>1997</v>
      </c>
      <c r="D3608" s="166">
        <v>52</v>
      </c>
      <c r="E3608" s="166" t="s">
        <v>1106</v>
      </c>
      <c r="F3608" s="166">
        <v>659.84554263565929</v>
      </c>
    </row>
    <row r="3609" spans="1:6">
      <c r="A3609" s="403">
        <v>7320</v>
      </c>
      <c r="B3609" s="403">
        <v>22</v>
      </c>
      <c r="C3609" s="166">
        <v>1997</v>
      </c>
      <c r="D3609" s="166">
        <v>52</v>
      </c>
      <c r="E3609" s="166" t="s">
        <v>1106</v>
      </c>
      <c r="F3609" s="166">
        <v>659.84554263565929</v>
      </c>
    </row>
    <row r="3610" spans="1:6">
      <c r="A3610" s="403">
        <v>7321</v>
      </c>
      <c r="B3610" s="403">
        <v>23</v>
      </c>
      <c r="C3610" s="166">
        <v>2516</v>
      </c>
      <c r="D3610" s="166">
        <v>48</v>
      </c>
      <c r="E3610" s="166" t="s">
        <v>1106</v>
      </c>
      <c r="F3610" s="166">
        <v>359.92992125984256</v>
      </c>
    </row>
    <row r="3611" spans="1:6">
      <c r="A3611" s="403">
        <v>7322</v>
      </c>
      <c r="B3611" s="403">
        <v>22</v>
      </c>
      <c r="C3611" s="166">
        <v>1997</v>
      </c>
      <c r="D3611" s="166">
        <v>52</v>
      </c>
      <c r="E3611" s="166" t="s">
        <v>1106</v>
      </c>
      <c r="F3611" s="166">
        <v>659.84554263565929</v>
      </c>
    </row>
    <row r="3612" spans="1:6">
      <c r="A3612" s="403">
        <v>7325</v>
      </c>
      <c r="B3612" s="403">
        <v>22</v>
      </c>
      <c r="C3612" s="166">
        <v>1997</v>
      </c>
      <c r="D3612" s="166">
        <v>52</v>
      </c>
      <c r="E3612" s="166" t="s">
        <v>1106</v>
      </c>
      <c r="F3612" s="166">
        <v>659.84554263565929</v>
      </c>
    </row>
    <row r="3613" spans="1:6">
      <c r="A3613" s="403">
        <v>7330</v>
      </c>
      <c r="B3613" s="403">
        <v>22</v>
      </c>
      <c r="C3613" s="166">
        <v>1997</v>
      </c>
      <c r="D3613" s="166">
        <v>52</v>
      </c>
      <c r="E3613" s="166" t="s">
        <v>1106</v>
      </c>
      <c r="F3613" s="166">
        <v>659.84554263565929</v>
      </c>
    </row>
    <row r="3614" spans="1:6">
      <c r="A3614" s="403">
        <v>7331</v>
      </c>
      <c r="B3614" s="403">
        <v>22</v>
      </c>
      <c r="C3614" s="166">
        <v>1997</v>
      </c>
      <c r="D3614" s="166">
        <v>52</v>
      </c>
      <c r="E3614" s="166" t="s">
        <v>1106</v>
      </c>
      <c r="F3614" s="166">
        <v>659.84554263565929</v>
      </c>
    </row>
    <row r="3615" spans="1:6">
      <c r="A3615" s="403">
        <v>7466</v>
      </c>
      <c r="B3615" s="403">
        <v>23</v>
      </c>
      <c r="C3615" s="166">
        <v>2516</v>
      </c>
      <c r="D3615" s="166">
        <v>48</v>
      </c>
      <c r="E3615" s="166" t="s">
        <v>1106</v>
      </c>
      <c r="F3615" s="166">
        <v>359.92992125984256</v>
      </c>
    </row>
    <row r="3616" spans="1:6">
      <c r="A3616" s="403">
        <v>7467</v>
      </c>
      <c r="B3616" s="403">
        <v>23</v>
      </c>
      <c r="C3616" s="166">
        <v>2516</v>
      </c>
      <c r="D3616" s="166">
        <v>48</v>
      </c>
      <c r="E3616" s="166" t="s">
        <v>1106</v>
      </c>
      <c r="F3616" s="166">
        <v>359.92992125984256</v>
      </c>
    </row>
    <row r="3617" spans="1:6">
      <c r="A3617" s="403">
        <v>7468</v>
      </c>
      <c r="B3617" s="403">
        <v>23</v>
      </c>
      <c r="C3617" s="166">
        <v>2516</v>
      </c>
      <c r="D3617" s="166">
        <v>48</v>
      </c>
      <c r="E3617" s="166" t="s">
        <v>1106</v>
      </c>
      <c r="F3617" s="166">
        <v>359.92992125984256</v>
      </c>
    </row>
    <row r="3618" spans="1:6">
      <c r="A3618" s="403">
        <v>7469</v>
      </c>
      <c r="B3618" s="403">
        <v>23</v>
      </c>
      <c r="C3618" s="166">
        <v>2516</v>
      </c>
      <c r="D3618" s="166">
        <v>48</v>
      </c>
      <c r="E3618" s="166" t="s">
        <v>1106</v>
      </c>
      <c r="F3618" s="166">
        <v>359.92992125984256</v>
      </c>
    </row>
    <row r="3619" spans="1:6">
      <c r="A3619" s="403">
        <v>7470</v>
      </c>
      <c r="B3619" s="403">
        <v>23</v>
      </c>
      <c r="C3619" s="166">
        <v>2516</v>
      </c>
      <c r="D3619" s="166">
        <v>48</v>
      </c>
      <c r="E3619" s="166" t="s">
        <v>1106</v>
      </c>
      <c r="F3619" s="166">
        <v>359.92992125984256</v>
      </c>
    </row>
    <row r="3620" spans="1:6">
      <c r="A3620" s="403">
        <v>7800</v>
      </c>
      <c r="B3620" s="403">
        <v>25</v>
      </c>
      <c r="C3620" s="166">
        <v>2421</v>
      </c>
      <c r="D3620" s="166">
        <v>25</v>
      </c>
      <c r="E3620" s="166" t="s">
        <v>1106</v>
      </c>
      <c r="F3620" s="166">
        <v>657.92700000000173</v>
      </c>
    </row>
    <row r="3621" spans="1:6">
      <c r="A3621" s="403">
        <v>7802</v>
      </c>
      <c r="B3621" s="403">
        <v>26</v>
      </c>
      <c r="C3621" s="166">
        <v>2049</v>
      </c>
      <c r="D3621" s="166">
        <v>29</v>
      </c>
      <c r="E3621" s="166" t="s">
        <v>1106</v>
      </c>
      <c r="F3621" s="166">
        <v>359.92992125984131</v>
      </c>
    </row>
    <row r="3622" spans="1:6">
      <c r="A3622" s="403">
        <v>7803</v>
      </c>
      <c r="B3622" s="403">
        <v>26</v>
      </c>
      <c r="C3622" s="166">
        <v>2049</v>
      </c>
      <c r="D3622" s="166">
        <v>29</v>
      </c>
      <c r="E3622" s="166" t="s">
        <v>1106</v>
      </c>
      <c r="F3622" s="166">
        <v>359.92992125984131</v>
      </c>
    </row>
    <row r="3623" spans="1:6">
      <c r="A3623" s="403">
        <v>7804</v>
      </c>
      <c r="B3623" s="403">
        <v>26</v>
      </c>
      <c r="C3623" s="166">
        <v>2049</v>
      </c>
      <c r="D3623" s="166">
        <v>29</v>
      </c>
      <c r="E3623" s="166" t="s">
        <v>1106</v>
      </c>
      <c r="F3623" s="166">
        <v>359.92992125984131</v>
      </c>
    </row>
    <row r="3624" spans="1:6">
      <c r="A3624" s="403">
        <v>7805</v>
      </c>
      <c r="B3624" s="403">
        <v>26</v>
      </c>
      <c r="C3624" s="166">
        <v>2049</v>
      </c>
      <c r="D3624" s="166">
        <v>29</v>
      </c>
      <c r="E3624" s="166" t="s">
        <v>1106</v>
      </c>
      <c r="F3624" s="166">
        <v>359.92992125984131</v>
      </c>
    </row>
    <row r="3625" spans="1:6">
      <c r="A3625" s="403">
        <v>7806</v>
      </c>
      <c r="B3625" s="403">
        <v>26</v>
      </c>
      <c r="C3625" s="166">
        <v>2049</v>
      </c>
      <c r="D3625" s="166">
        <v>29</v>
      </c>
      <c r="E3625" s="166" t="s">
        <v>1106</v>
      </c>
      <c r="F3625" s="166">
        <v>359.92992125984131</v>
      </c>
    </row>
    <row r="3626" spans="1:6">
      <c r="A3626" s="403">
        <v>7807</v>
      </c>
      <c r="B3626" s="403">
        <v>26</v>
      </c>
      <c r="C3626" s="166">
        <v>2049</v>
      </c>
      <c r="D3626" s="166">
        <v>29</v>
      </c>
      <c r="E3626" s="166" t="s">
        <v>1106</v>
      </c>
      <c r="F3626" s="166">
        <v>359.92992125984131</v>
      </c>
    </row>
    <row r="3627" spans="1:6">
      <c r="A3627" s="403">
        <v>7808</v>
      </c>
      <c r="B3627" s="403">
        <v>26</v>
      </c>
      <c r="C3627" s="166">
        <v>2049</v>
      </c>
      <c r="D3627" s="166">
        <v>29</v>
      </c>
      <c r="E3627" s="166" t="s">
        <v>1106</v>
      </c>
      <c r="F3627" s="166">
        <v>359.92992125984131</v>
      </c>
    </row>
    <row r="3628" spans="1:6">
      <c r="A3628" s="403">
        <v>7809</v>
      </c>
      <c r="B3628" s="403">
        <v>26</v>
      </c>
      <c r="C3628" s="166">
        <v>2049</v>
      </c>
      <c r="D3628" s="166">
        <v>29</v>
      </c>
      <c r="E3628" s="166" t="s">
        <v>1106</v>
      </c>
      <c r="F3628" s="166">
        <v>359.92992125984131</v>
      </c>
    </row>
    <row r="3629" spans="1:6">
      <c r="A3629" s="403">
        <v>7810</v>
      </c>
      <c r="B3629" s="403">
        <v>26</v>
      </c>
      <c r="C3629" s="166">
        <v>2049</v>
      </c>
      <c r="D3629" s="166">
        <v>29</v>
      </c>
      <c r="E3629" s="166" t="s">
        <v>1106</v>
      </c>
      <c r="F3629" s="166">
        <v>359.92992125984131</v>
      </c>
    </row>
    <row r="3630" spans="1:6">
      <c r="A3630" s="403">
        <v>7811</v>
      </c>
      <c r="B3630" s="403">
        <v>26</v>
      </c>
      <c r="C3630" s="166">
        <v>2049</v>
      </c>
      <c r="D3630" s="166">
        <v>29</v>
      </c>
      <c r="E3630" s="166" t="s">
        <v>1106</v>
      </c>
      <c r="F3630" s="166">
        <v>359.92992125984131</v>
      </c>
    </row>
    <row r="3631" spans="1:6">
      <c r="A3631" s="403">
        <v>7812</v>
      </c>
      <c r="B3631" s="403">
        <v>26</v>
      </c>
      <c r="C3631" s="166">
        <v>2049</v>
      </c>
      <c r="D3631" s="166">
        <v>29</v>
      </c>
      <c r="E3631" s="166" t="s">
        <v>1106</v>
      </c>
      <c r="F3631" s="166">
        <v>359.92992125984131</v>
      </c>
    </row>
    <row r="3632" spans="1:6">
      <c r="A3632" s="403">
        <v>7813</v>
      </c>
      <c r="B3632" s="403">
        <v>26</v>
      </c>
      <c r="C3632" s="166">
        <v>2049</v>
      </c>
      <c r="D3632" s="166">
        <v>29</v>
      </c>
      <c r="E3632" s="166" t="s">
        <v>1106</v>
      </c>
      <c r="F3632" s="166">
        <v>359.92992125984131</v>
      </c>
    </row>
    <row r="3633" spans="1:6">
      <c r="A3633" s="403">
        <v>7814</v>
      </c>
      <c r="B3633" s="403">
        <v>26</v>
      </c>
      <c r="C3633" s="166">
        <v>2049</v>
      </c>
      <c r="D3633" s="166">
        <v>29</v>
      </c>
      <c r="E3633" s="166" t="s">
        <v>1106</v>
      </c>
      <c r="F3633" s="166">
        <v>359.92992125984131</v>
      </c>
    </row>
    <row r="3634" spans="1:6">
      <c r="A3634" s="403">
        <v>7823</v>
      </c>
      <c r="B3634" s="403">
        <v>26</v>
      </c>
      <c r="C3634" s="166">
        <v>2049</v>
      </c>
      <c r="D3634" s="166">
        <v>29</v>
      </c>
      <c r="E3634" s="166" t="s">
        <v>1106</v>
      </c>
      <c r="F3634" s="166">
        <v>359.92992125984131</v>
      </c>
    </row>
    <row r="3635" spans="1:6">
      <c r="A3635" s="403">
        <v>7824</v>
      </c>
      <c r="B3635" s="403">
        <v>26</v>
      </c>
      <c r="C3635" s="166">
        <v>2049</v>
      </c>
      <c r="D3635" s="166">
        <v>29</v>
      </c>
      <c r="E3635" s="166" t="s">
        <v>1106</v>
      </c>
      <c r="F3635" s="166">
        <v>359.92992125984131</v>
      </c>
    </row>
    <row r="3636" spans="1:6">
      <c r="A3636" s="403">
        <v>7827</v>
      </c>
      <c r="B3636" s="403">
        <v>26</v>
      </c>
      <c r="C3636" s="166">
        <v>2049</v>
      </c>
      <c r="D3636" s="166">
        <v>29</v>
      </c>
      <c r="E3636" s="166" t="s">
        <v>1106</v>
      </c>
      <c r="F3636" s="166">
        <v>359.92992125984131</v>
      </c>
    </row>
    <row r="3637" spans="1:6">
      <c r="A3637" s="403">
        <v>7828</v>
      </c>
      <c r="B3637" s="403">
        <v>26</v>
      </c>
      <c r="C3637" s="166">
        <v>2049</v>
      </c>
      <c r="D3637" s="166">
        <v>29</v>
      </c>
      <c r="E3637" s="166" t="s">
        <v>1106</v>
      </c>
      <c r="F3637" s="166">
        <v>359.92992125984131</v>
      </c>
    </row>
    <row r="3638" spans="1:6">
      <c r="A3638" s="403">
        <v>7829</v>
      </c>
      <c r="B3638" s="403">
        <v>26</v>
      </c>
      <c r="C3638" s="166">
        <v>2049</v>
      </c>
      <c r="D3638" s="166">
        <v>29</v>
      </c>
      <c r="E3638" s="166" t="s">
        <v>1106</v>
      </c>
      <c r="F3638" s="166">
        <v>359.92992125984131</v>
      </c>
    </row>
    <row r="3639" spans="1:6">
      <c r="A3639" s="403">
        <v>7845</v>
      </c>
      <c r="B3639" s="403">
        <v>26</v>
      </c>
      <c r="C3639" s="166">
        <v>2049</v>
      </c>
      <c r="D3639" s="166">
        <v>29</v>
      </c>
      <c r="E3639" s="166" t="s">
        <v>1106</v>
      </c>
      <c r="F3639" s="166">
        <v>359.92992125984131</v>
      </c>
    </row>
    <row r="3640" spans="1:6">
      <c r="A3640" s="403">
        <v>7850</v>
      </c>
      <c r="B3640" s="403">
        <v>26</v>
      </c>
      <c r="C3640" s="166">
        <v>2049</v>
      </c>
      <c r="D3640" s="166">
        <v>29</v>
      </c>
      <c r="E3640" s="166" t="s">
        <v>1106</v>
      </c>
      <c r="F3640" s="166">
        <v>359.92992125984131</v>
      </c>
    </row>
    <row r="3641" spans="1:6">
      <c r="A3641" s="403">
        <v>7892</v>
      </c>
      <c r="B3641" s="403">
        <v>26</v>
      </c>
      <c r="C3641" s="166">
        <v>2049</v>
      </c>
      <c r="D3641" s="166">
        <v>29</v>
      </c>
      <c r="E3641" s="166" t="s">
        <v>1106</v>
      </c>
      <c r="F3641" s="166">
        <v>359.92992125984131</v>
      </c>
    </row>
    <row r="3642" spans="1:6">
      <c r="A3642" s="403">
        <v>7900</v>
      </c>
      <c r="B3642" s="403">
        <v>25</v>
      </c>
      <c r="C3642" s="166">
        <v>2421</v>
      </c>
      <c r="D3642" s="166">
        <v>25</v>
      </c>
      <c r="E3642" s="166" t="s">
        <v>1106</v>
      </c>
      <c r="F3642" s="166">
        <v>657.92700000000173</v>
      </c>
    </row>
    <row r="3643" spans="1:6">
      <c r="A3643" s="403">
        <v>7901</v>
      </c>
      <c r="B3643" s="403">
        <v>25</v>
      </c>
      <c r="C3643" s="166">
        <v>2421</v>
      </c>
      <c r="D3643" s="166">
        <v>25</v>
      </c>
      <c r="E3643" s="166" t="s">
        <v>1106</v>
      </c>
      <c r="F3643" s="166">
        <v>657.92700000000173</v>
      </c>
    </row>
    <row r="3644" spans="1:6">
      <c r="A3644" s="403">
        <v>7902</v>
      </c>
      <c r="B3644" s="403">
        <v>25</v>
      </c>
      <c r="C3644" s="166">
        <v>2421</v>
      </c>
      <c r="D3644" s="166">
        <v>25</v>
      </c>
      <c r="E3644" s="166" t="s">
        <v>1106</v>
      </c>
      <c r="F3644" s="166">
        <v>657.92700000000173</v>
      </c>
    </row>
    <row r="3645" spans="1:6">
      <c r="A3645" s="403">
        <v>7903</v>
      </c>
      <c r="B3645" s="403">
        <v>25</v>
      </c>
      <c r="C3645" s="166">
        <v>2421</v>
      </c>
      <c r="D3645" s="166">
        <v>25</v>
      </c>
      <c r="E3645" s="166" t="s">
        <v>1106</v>
      </c>
      <c r="F3645" s="166">
        <v>657.92700000000173</v>
      </c>
    </row>
    <row r="3646" spans="1:6">
      <c r="A3646" s="403">
        <v>7904</v>
      </c>
      <c r="B3646" s="403">
        <v>25</v>
      </c>
      <c r="C3646" s="166">
        <v>2421</v>
      </c>
      <c r="D3646" s="166">
        <v>25</v>
      </c>
      <c r="E3646" s="166" t="s">
        <v>1106</v>
      </c>
      <c r="F3646" s="166">
        <v>657.92700000000173</v>
      </c>
    </row>
    <row r="3647" spans="1:6">
      <c r="A3647" s="403">
        <v>7905</v>
      </c>
      <c r="B3647" s="403">
        <v>25</v>
      </c>
      <c r="C3647" s="166">
        <v>2421</v>
      </c>
      <c r="D3647" s="166">
        <v>25</v>
      </c>
      <c r="E3647" s="166" t="s">
        <v>1106</v>
      </c>
      <c r="F3647" s="166">
        <v>657.92700000000173</v>
      </c>
    </row>
    <row r="3648" spans="1:6">
      <c r="A3648" s="403">
        <v>7906</v>
      </c>
      <c r="B3648" s="403">
        <v>25</v>
      </c>
      <c r="C3648" s="166">
        <v>2421</v>
      </c>
      <c r="D3648" s="166">
        <v>25</v>
      </c>
      <c r="E3648" s="166" t="s">
        <v>1106</v>
      </c>
      <c r="F3648" s="166">
        <v>657.92700000000173</v>
      </c>
    </row>
    <row r="3649" spans="1:6">
      <c r="A3649" s="403">
        <v>7907</v>
      </c>
      <c r="B3649" s="403">
        <v>25</v>
      </c>
      <c r="C3649" s="166">
        <v>2421</v>
      </c>
      <c r="D3649" s="166">
        <v>25</v>
      </c>
      <c r="E3649" s="166" t="s">
        <v>1106</v>
      </c>
      <c r="F3649" s="166">
        <v>657.92700000000173</v>
      </c>
    </row>
    <row r="3650" spans="1:6">
      <c r="A3650" s="403">
        <v>7908</v>
      </c>
      <c r="B3650" s="403">
        <v>25</v>
      </c>
      <c r="C3650" s="166">
        <v>2421</v>
      </c>
      <c r="D3650" s="166">
        <v>25</v>
      </c>
      <c r="E3650" s="166" t="s">
        <v>1106</v>
      </c>
      <c r="F3650" s="166">
        <v>657.92700000000173</v>
      </c>
    </row>
    <row r="3651" spans="1:6">
      <c r="A3651" s="403">
        <v>7916</v>
      </c>
      <c r="B3651" s="403">
        <v>22</v>
      </c>
      <c r="C3651" s="166">
        <v>1997</v>
      </c>
      <c r="D3651" s="166">
        <v>52</v>
      </c>
      <c r="E3651" s="166" t="s">
        <v>1106</v>
      </c>
      <c r="F3651" s="166">
        <v>659.84554263565929</v>
      </c>
    </row>
    <row r="3652" spans="1:6">
      <c r="A3652" s="403">
        <v>7917</v>
      </c>
      <c r="B3652" s="403">
        <v>25</v>
      </c>
      <c r="C3652" s="166">
        <v>2421</v>
      </c>
      <c r="D3652" s="166">
        <v>25</v>
      </c>
      <c r="E3652" s="166" t="s">
        <v>1106</v>
      </c>
      <c r="F3652" s="166">
        <v>657.92700000000173</v>
      </c>
    </row>
    <row r="3653" spans="1:6">
      <c r="A3653" s="403">
        <v>7918</v>
      </c>
      <c r="B3653" s="403">
        <v>25</v>
      </c>
      <c r="C3653" s="166">
        <v>2421</v>
      </c>
      <c r="D3653" s="166">
        <v>25</v>
      </c>
      <c r="E3653" s="166" t="s">
        <v>1106</v>
      </c>
      <c r="F3653" s="166">
        <v>657.92700000000173</v>
      </c>
    </row>
    <row r="3654" spans="1:6">
      <c r="A3654" s="403">
        <v>7919</v>
      </c>
      <c r="B3654" s="403">
        <v>22</v>
      </c>
      <c r="C3654" s="166">
        <v>1997</v>
      </c>
      <c r="D3654" s="166">
        <v>52</v>
      </c>
      <c r="E3654" s="166" t="s">
        <v>1106</v>
      </c>
      <c r="F3654" s="166">
        <v>659.84554263565929</v>
      </c>
    </row>
    <row r="3655" spans="1:6">
      <c r="A3655" s="403">
        <v>7920</v>
      </c>
      <c r="B3655" s="403">
        <v>25</v>
      </c>
      <c r="C3655" s="166">
        <v>2421</v>
      </c>
      <c r="D3655" s="166">
        <v>25</v>
      </c>
      <c r="E3655" s="166" t="s">
        <v>1106</v>
      </c>
      <c r="F3655" s="166">
        <v>657.92700000000173</v>
      </c>
    </row>
    <row r="3656" spans="1:6">
      <c r="A3656" s="403">
        <v>7921</v>
      </c>
      <c r="B3656" s="403">
        <v>25</v>
      </c>
      <c r="C3656" s="166">
        <v>2421</v>
      </c>
      <c r="D3656" s="166">
        <v>25</v>
      </c>
      <c r="E3656" s="166" t="s">
        <v>1106</v>
      </c>
      <c r="F3656" s="166">
        <v>657.92700000000173</v>
      </c>
    </row>
    <row r="3657" spans="1:6">
      <c r="A3657" s="403">
        <v>7922</v>
      </c>
      <c r="B3657" s="403">
        <v>22</v>
      </c>
      <c r="C3657" s="166">
        <v>1997</v>
      </c>
      <c r="D3657" s="166">
        <v>52</v>
      </c>
      <c r="E3657" s="166" t="s">
        <v>1106</v>
      </c>
      <c r="F3657" s="166">
        <v>659.84554263565929</v>
      </c>
    </row>
    <row r="3658" spans="1:6">
      <c r="A3658" s="403">
        <v>7923</v>
      </c>
      <c r="B3658" s="403">
        <v>25</v>
      </c>
      <c r="C3658" s="166">
        <v>2421</v>
      </c>
      <c r="D3658" s="166">
        <v>25</v>
      </c>
      <c r="E3658" s="166" t="s">
        <v>1106</v>
      </c>
      <c r="F3658" s="166">
        <v>657.92700000000173</v>
      </c>
    </row>
    <row r="3659" spans="1:6">
      <c r="A3659" s="403">
        <v>8001</v>
      </c>
      <c r="B3659" s="403">
        <v>18</v>
      </c>
      <c r="C3659" s="166">
        <v>1590</v>
      </c>
      <c r="D3659" s="166">
        <v>100</v>
      </c>
      <c r="E3659" s="166" t="s">
        <v>1107</v>
      </c>
      <c r="F3659" s="166">
        <v>769.37262842144253</v>
      </c>
    </row>
    <row r="3660" spans="1:6">
      <c r="A3660" s="403">
        <v>8002</v>
      </c>
      <c r="B3660" s="403">
        <v>18</v>
      </c>
      <c r="C3660" s="166">
        <v>1590</v>
      </c>
      <c r="D3660" s="166">
        <v>100</v>
      </c>
      <c r="E3660" s="166" t="s">
        <v>1107</v>
      </c>
      <c r="F3660" s="166">
        <v>769.37262842144253</v>
      </c>
    </row>
    <row r="3661" spans="1:6">
      <c r="A3661" s="403">
        <v>8003</v>
      </c>
      <c r="B3661" s="403">
        <v>18</v>
      </c>
      <c r="C3661" s="166">
        <v>1590</v>
      </c>
      <c r="D3661" s="166">
        <v>100</v>
      </c>
      <c r="E3661" s="166" t="s">
        <v>1107</v>
      </c>
      <c r="F3661" s="166">
        <v>769.37262842144253</v>
      </c>
    </row>
    <row r="3662" spans="1:6">
      <c r="A3662" s="403">
        <v>8004</v>
      </c>
      <c r="B3662" s="403">
        <v>18</v>
      </c>
      <c r="C3662" s="166">
        <v>1590</v>
      </c>
      <c r="D3662" s="166">
        <v>100</v>
      </c>
      <c r="E3662" s="166" t="s">
        <v>1107</v>
      </c>
      <c r="F3662" s="166">
        <v>769.37262842144253</v>
      </c>
    </row>
    <row r="3663" spans="1:6">
      <c r="A3663" s="403">
        <v>8005</v>
      </c>
      <c r="B3663" s="403">
        <v>18</v>
      </c>
      <c r="C3663" s="166">
        <v>1590</v>
      </c>
      <c r="D3663" s="166">
        <v>100</v>
      </c>
      <c r="E3663" s="166" t="s">
        <v>1107</v>
      </c>
      <c r="F3663" s="166">
        <v>769.37262842144253</v>
      </c>
    </row>
    <row r="3664" spans="1:6">
      <c r="A3664" s="403">
        <v>8006</v>
      </c>
      <c r="B3664" s="403">
        <v>18</v>
      </c>
      <c r="C3664" s="166">
        <v>1590</v>
      </c>
      <c r="D3664" s="166">
        <v>100</v>
      </c>
      <c r="E3664" s="166" t="s">
        <v>1107</v>
      </c>
      <c r="F3664" s="166">
        <v>769.37262842144253</v>
      </c>
    </row>
    <row r="3665" spans="1:6">
      <c r="A3665" s="403">
        <v>8007</v>
      </c>
      <c r="B3665" s="403">
        <v>18</v>
      </c>
      <c r="C3665" s="166">
        <v>1590</v>
      </c>
      <c r="D3665" s="166">
        <v>100</v>
      </c>
      <c r="E3665" s="166" t="s">
        <v>1107</v>
      </c>
      <c r="F3665" s="166">
        <v>769.37262842144253</v>
      </c>
    </row>
    <row r="3666" spans="1:6">
      <c r="A3666" s="403">
        <v>8008</v>
      </c>
      <c r="B3666" s="403">
        <v>18</v>
      </c>
      <c r="C3666" s="166">
        <v>1590</v>
      </c>
      <c r="D3666" s="166">
        <v>100</v>
      </c>
      <c r="E3666" s="166" t="s">
        <v>1107</v>
      </c>
      <c r="F3666" s="166">
        <v>769.37262842144253</v>
      </c>
    </row>
    <row r="3667" spans="1:6">
      <c r="A3667" s="403">
        <v>8009</v>
      </c>
      <c r="B3667" s="403">
        <v>18</v>
      </c>
      <c r="C3667" s="166">
        <v>1590</v>
      </c>
      <c r="D3667" s="166">
        <v>100</v>
      </c>
      <c r="E3667" s="166" t="s">
        <v>1107</v>
      </c>
      <c r="F3667" s="166">
        <v>769.37262842144253</v>
      </c>
    </row>
    <row r="3668" spans="1:6">
      <c r="A3668" s="403">
        <v>8010</v>
      </c>
      <c r="B3668" s="403">
        <v>18</v>
      </c>
      <c r="C3668" s="166">
        <v>1590</v>
      </c>
      <c r="D3668" s="166">
        <v>100</v>
      </c>
      <c r="E3668" s="166" t="s">
        <v>1107</v>
      </c>
      <c r="F3668" s="166">
        <v>769.37262842144253</v>
      </c>
    </row>
    <row r="3669" spans="1:6">
      <c r="A3669" s="403">
        <v>8045</v>
      </c>
      <c r="B3669" s="403">
        <v>18</v>
      </c>
      <c r="C3669" s="166">
        <v>1590</v>
      </c>
      <c r="D3669" s="166">
        <v>100</v>
      </c>
      <c r="E3669" s="166" t="s">
        <v>1107</v>
      </c>
      <c r="F3669" s="166">
        <v>769.37262842144253</v>
      </c>
    </row>
    <row r="3670" spans="1:6">
      <c r="A3670" s="403">
        <v>8051</v>
      </c>
      <c r="B3670" s="403">
        <v>18</v>
      </c>
      <c r="C3670" s="166">
        <v>1590</v>
      </c>
      <c r="D3670" s="166">
        <v>100</v>
      </c>
      <c r="E3670" s="166" t="s">
        <v>1107</v>
      </c>
      <c r="F3670" s="166">
        <v>769.37262842144253</v>
      </c>
    </row>
    <row r="3671" spans="1:6">
      <c r="A3671" s="403">
        <v>8060</v>
      </c>
      <c r="B3671" s="403">
        <v>18</v>
      </c>
      <c r="C3671" s="166">
        <v>1590</v>
      </c>
      <c r="D3671" s="166">
        <v>100</v>
      </c>
      <c r="E3671" s="166" t="s">
        <v>1107</v>
      </c>
      <c r="F3671" s="166">
        <v>769.37262842144253</v>
      </c>
    </row>
    <row r="3672" spans="1:6">
      <c r="A3672" s="403">
        <v>8061</v>
      </c>
      <c r="B3672" s="403">
        <v>18</v>
      </c>
      <c r="C3672" s="166">
        <v>1590</v>
      </c>
      <c r="D3672" s="166">
        <v>100</v>
      </c>
      <c r="E3672" s="166" t="s">
        <v>1107</v>
      </c>
      <c r="F3672" s="166">
        <v>769.37262842144253</v>
      </c>
    </row>
    <row r="3673" spans="1:6">
      <c r="A3673" s="403">
        <v>8066</v>
      </c>
      <c r="B3673" s="403">
        <v>18</v>
      </c>
      <c r="C3673" s="166">
        <v>1590</v>
      </c>
      <c r="D3673" s="166">
        <v>100</v>
      </c>
      <c r="E3673" s="166" t="s">
        <v>1107</v>
      </c>
      <c r="F3673" s="166">
        <v>769.37262842144253</v>
      </c>
    </row>
    <row r="3674" spans="1:6">
      <c r="A3674" s="403">
        <v>8069</v>
      </c>
      <c r="B3674" s="403">
        <v>18</v>
      </c>
      <c r="C3674" s="166">
        <v>1590</v>
      </c>
      <c r="D3674" s="166">
        <v>100</v>
      </c>
      <c r="E3674" s="166" t="s">
        <v>1107</v>
      </c>
      <c r="F3674" s="166">
        <v>769.37262842144253</v>
      </c>
    </row>
    <row r="3675" spans="1:6">
      <c r="A3675" s="403">
        <v>8070</v>
      </c>
      <c r="B3675" s="403">
        <v>18</v>
      </c>
      <c r="C3675" s="166">
        <v>1590</v>
      </c>
      <c r="D3675" s="166">
        <v>100</v>
      </c>
      <c r="E3675" s="166" t="s">
        <v>1107</v>
      </c>
      <c r="F3675" s="166">
        <v>769.37262842144253</v>
      </c>
    </row>
    <row r="3676" spans="1:6">
      <c r="A3676" s="403">
        <v>8071</v>
      </c>
      <c r="B3676" s="403">
        <v>18</v>
      </c>
      <c r="C3676" s="166">
        <v>1590</v>
      </c>
      <c r="D3676" s="166">
        <v>100</v>
      </c>
      <c r="E3676" s="166" t="s">
        <v>1107</v>
      </c>
      <c r="F3676" s="166">
        <v>769.37262842144253</v>
      </c>
    </row>
    <row r="3677" spans="1:6">
      <c r="A3677" s="403">
        <v>8100</v>
      </c>
      <c r="B3677" s="403">
        <v>18</v>
      </c>
      <c r="C3677" s="166">
        <v>1590</v>
      </c>
      <c r="D3677" s="166">
        <v>100</v>
      </c>
      <c r="E3677" s="166" t="s">
        <v>1107</v>
      </c>
      <c r="F3677" s="166">
        <v>769.37262842144253</v>
      </c>
    </row>
    <row r="3678" spans="1:6">
      <c r="A3678" s="403">
        <v>8101</v>
      </c>
      <c r="B3678" s="403">
        <v>18</v>
      </c>
      <c r="C3678" s="166">
        <v>1590</v>
      </c>
      <c r="D3678" s="166">
        <v>100</v>
      </c>
      <c r="E3678" s="166" t="s">
        <v>1107</v>
      </c>
      <c r="F3678" s="166">
        <v>769.37262842144253</v>
      </c>
    </row>
    <row r="3679" spans="1:6">
      <c r="A3679" s="403">
        <v>8102</v>
      </c>
      <c r="B3679" s="403">
        <v>18</v>
      </c>
      <c r="C3679" s="166">
        <v>1590</v>
      </c>
      <c r="D3679" s="166">
        <v>100</v>
      </c>
      <c r="E3679" s="166" t="s">
        <v>1107</v>
      </c>
      <c r="F3679" s="166">
        <v>769.37262842144253</v>
      </c>
    </row>
    <row r="3680" spans="1:6">
      <c r="A3680" s="403">
        <v>8103</v>
      </c>
      <c r="B3680" s="403">
        <v>18</v>
      </c>
      <c r="C3680" s="166">
        <v>1590</v>
      </c>
      <c r="D3680" s="166">
        <v>100</v>
      </c>
      <c r="E3680" s="166" t="s">
        <v>1107</v>
      </c>
      <c r="F3680" s="166">
        <v>769.37262842144253</v>
      </c>
    </row>
    <row r="3681" spans="1:6">
      <c r="A3681" s="403">
        <v>8107</v>
      </c>
      <c r="B3681" s="403">
        <v>18</v>
      </c>
      <c r="C3681" s="166">
        <v>1590</v>
      </c>
      <c r="D3681" s="166">
        <v>100</v>
      </c>
      <c r="E3681" s="166" t="s">
        <v>1107</v>
      </c>
      <c r="F3681" s="166">
        <v>769.37262842144253</v>
      </c>
    </row>
    <row r="3682" spans="1:6">
      <c r="A3682" s="403">
        <v>8108</v>
      </c>
      <c r="B3682" s="403">
        <v>18</v>
      </c>
      <c r="C3682" s="166">
        <v>1590</v>
      </c>
      <c r="D3682" s="166">
        <v>100</v>
      </c>
      <c r="E3682" s="166" t="s">
        <v>1107</v>
      </c>
      <c r="F3682" s="166">
        <v>769.37262842144253</v>
      </c>
    </row>
    <row r="3683" spans="1:6">
      <c r="A3683" s="403">
        <v>8111</v>
      </c>
      <c r="B3683" s="403">
        <v>18</v>
      </c>
      <c r="C3683" s="166">
        <v>1590</v>
      </c>
      <c r="D3683" s="166">
        <v>100</v>
      </c>
      <c r="E3683" s="166" t="s">
        <v>1107</v>
      </c>
      <c r="F3683" s="166">
        <v>769.37262842144253</v>
      </c>
    </row>
    <row r="3684" spans="1:6">
      <c r="A3684" s="403">
        <v>8120</v>
      </c>
      <c r="B3684" s="403">
        <v>18</v>
      </c>
      <c r="C3684" s="166">
        <v>1590</v>
      </c>
      <c r="D3684" s="166">
        <v>100</v>
      </c>
      <c r="E3684" s="166" t="s">
        <v>1107</v>
      </c>
      <c r="F3684" s="166">
        <v>769.37262842144253</v>
      </c>
    </row>
    <row r="3685" spans="1:6">
      <c r="A3685" s="403">
        <v>8205</v>
      </c>
      <c r="B3685" s="403">
        <v>18</v>
      </c>
      <c r="C3685" s="166">
        <v>1590</v>
      </c>
      <c r="D3685" s="166">
        <v>100</v>
      </c>
      <c r="E3685" s="166" t="s">
        <v>1107</v>
      </c>
      <c r="F3685" s="166">
        <v>769.37262842144253</v>
      </c>
    </row>
    <row r="3686" spans="1:6">
      <c r="A3686" s="403">
        <v>8383</v>
      </c>
      <c r="B3686" s="403">
        <v>18</v>
      </c>
      <c r="C3686" s="166">
        <v>1590</v>
      </c>
      <c r="D3686" s="166">
        <v>100</v>
      </c>
      <c r="E3686" s="166" t="s">
        <v>1107</v>
      </c>
      <c r="F3686" s="166">
        <v>769.37262842144253</v>
      </c>
    </row>
    <row r="3687" spans="1:6">
      <c r="A3687" s="403">
        <v>8386</v>
      </c>
      <c r="B3687" s="403">
        <v>18</v>
      </c>
      <c r="C3687" s="166">
        <v>1590</v>
      </c>
      <c r="D3687" s="166">
        <v>100</v>
      </c>
      <c r="E3687" s="166" t="s">
        <v>1107</v>
      </c>
      <c r="F3687" s="166">
        <v>769.37262842144253</v>
      </c>
    </row>
    <row r="3688" spans="1:6">
      <c r="A3688" s="403">
        <v>8388</v>
      </c>
      <c r="B3688" s="403">
        <v>18</v>
      </c>
      <c r="C3688" s="166">
        <v>1590</v>
      </c>
      <c r="D3688" s="166">
        <v>100</v>
      </c>
      <c r="E3688" s="166" t="s">
        <v>1107</v>
      </c>
      <c r="F3688" s="166">
        <v>769.37262842144253</v>
      </c>
    </row>
    <row r="3689" spans="1:6">
      <c r="A3689" s="403">
        <v>8390</v>
      </c>
      <c r="B3689" s="403">
        <v>18</v>
      </c>
      <c r="C3689" s="166">
        <v>1590</v>
      </c>
      <c r="D3689" s="166">
        <v>100</v>
      </c>
      <c r="E3689" s="166" t="s">
        <v>1107</v>
      </c>
      <c r="F3689" s="166">
        <v>769.37262842144253</v>
      </c>
    </row>
    <row r="3690" spans="1:6">
      <c r="A3690" s="403">
        <v>8393</v>
      </c>
      <c r="B3690" s="403">
        <v>18</v>
      </c>
      <c r="C3690" s="166">
        <v>1590</v>
      </c>
      <c r="D3690" s="166">
        <v>100</v>
      </c>
      <c r="E3690" s="166" t="s">
        <v>1107</v>
      </c>
      <c r="F3690" s="166">
        <v>769.37262842144253</v>
      </c>
    </row>
    <row r="3691" spans="1:6">
      <c r="A3691" s="403">
        <v>8394</v>
      </c>
      <c r="B3691" s="403">
        <v>18</v>
      </c>
      <c r="C3691" s="166">
        <v>1590</v>
      </c>
      <c r="D3691" s="166">
        <v>100</v>
      </c>
      <c r="E3691" s="166" t="s">
        <v>1107</v>
      </c>
      <c r="F3691" s="166">
        <v>769.37262842144253</v>
      </c>
    </row>
    <row r="3692" spans="1:6">
      <c r="A3692" s="403">
        <v>8396</v>
      </c>
      <c r="B3692" s="403">
        <v>18</v>
      </c>
      <c r="C3692" s="166">
        <v>1590</v>
      </c>
      <c r="D3692" s="166">
        <v>100</v>
      </c>
      <c r="E3692" s="166" t="s">
        <v>1107</v>
      </c>
      <c r="F3692" s="166">
        <v>769.37262842144253</v>
      </c>
    </row>
    <row r="3693" spans="1:6">
      <c r="A3693" s="403">
        <v>8399</v>
      </c>
      <c r="B3693" s="403">
        <v>18</v>
      </c>
      <c r="C3693" s="166">
        <v>1590</v>
      </c>
      <c r="D3693" s="166">
        <v>100</v>
      </c>
      <c r="E3693" s="166" t="s">
        <v>1107</v>
      </c>
      <c r="F3693" s="166">
        <v>769.37262842144253</v>
      </c>
    </row>
    <row r="3694" spans="1:6">
      <c r="A3694" s="403">
        <v>8500</v>
      </c>
      <c r="B3694" s="403">
        <v>18</v>
      </c>
      <c r="C3694" s="166">
        <v>1590</v>
      </c>
      <c r="D3694" s="166">
        <v>100</v>
      </c>
      <c r="E3694" s="166" t="s">
        <v>1107</v>
      </c>
      <c r="F3694" s="166">
        <v>769.37262842144253</v>
      </c>
    </row>
    <row r="3695" spans="1:6">
      <c r="A3695" s="403">
        <v>8507</v>
      </c>
      <c r="B3695" s="403">
        <v>18</v>
      </c>
      <c r="C3695" s="166">
        <v>1590</v>
      </c>
      <c r="D3695" s="166">
        <v>100</v>
      </c>
      <c r="E3695" s="166" t="s">
        <v>1107</v>
      </c>
      <c r="F3695" s="166">
        <v>769.37262842144253</v>
      </c>
    </row>
    <row r="3696" spans="1:6">
      <c r="A3696" s="403">
        <v>8538</v>
      </c>
      <c r="B3696" s="403">
        <v>18</v>
      </c>
      <c r="C3696" s="166">
        <v>1590</v>
      </c>
      <c r="D3696" s="166">
        <v>100</v>
      </c>
      <c r="E3696" s="166" t="s">
        <v>1107</v>
      </c>
      <c r="F3696" s="166">
        <v>769.37262842144253</v>
      </c>
    </row>
    <row r="3697" spans="1:6">
      <c r="A3697" s="403">
        <v>8557</v>
      </c>
      <c r="B3697" s="403">
        <v>18</v>
      </c>
      <c r="C3697" s="166">
        <v>1590</v>
      </c>
      <c r="D3697" s="166">
        <v>100</v>
      </c>
      <c r="E3697" s="166" t="s">
        <v>1107</v>
      </c>
      <c r="F3697" s="166">
        <v>769.37262842144253</v>
      </c>
    </row>
    <row r="3698" spans="1:6">
      <c r="A3698" s="403">
        <v>8576</v>
      </c>
      <c r="B3698" s="403">
        <v>18</v>
      </c>
      <c r="C3698" s="166">
        <v>1590</v>
      </c>
      <c r="D3698" s="166">
        <v>100</v>
      </c>
      <c r="E3698" s="166" t="s">
        <v>1107</v>
      </c>
      <c r="F3698" s="166">
        <v>769.37262842144253</v>
      </c>
    </row>
    <row r="3699" spans="1:6">
      <c r="A3699" s="403">
        <v>8622</v>
      </c>
      <c r="B3699" s="403">
        <v>18</v>
      </c>
      <c r="C3699" s="166">
        <v>1590</v>
      </c>
      <c r="D3699" s="166">
        <v>100</v>
      </c>
      <c r="E3699" s="166" t="s">
        <v>1107</v>
      </c>
      <c r="F3699" s="166">
        <v>769.37262842144253</v>
      </c>
    </row>
    <row r="3700" spans="1:6">
      <c r="A3700" s="403">
        <v>8626</v>
      </c>
      <c r="B3700" s="403">
        <v>18</v>
      </c>
      <c r="C3700" s="166">
        <v>1590</v>
      </c>
      <c r="D3700" s="166">
        <v>100</v>
      </c>
      <c r="E3700" s="166" t="s">
        <v>1107</v>
      </c>
      <c r="F3700" s="166">
        <v>769.37262842144253</v>
      </c>
    </row>
    <row r="3701" spans="1:6">
      <c r="A3701" s="403">
        <v>8627</v>
      </c>
      <c r="B3701" s="403">
        <v>18</v>
      </c>
      <c r="C3701" s="166">
        <v>1590</v>
      </c>
      <c r="D3701" s="166">
        <v>100</v>
      </c>
      <c r="E3701" s="166" t="s">
        <v>1107</v>
      </c>
      <c r="F3701" s="166">
        <v>769.37262842144253</v>
      </c>
    </row>
    <row r="3702" spans="1:6">
      <c r="A3702" s="403">
        <v>8659</v>
      </c>
      <c r="B3702" s="403">
        <v>18</v>
      </c>
      <c r="C3702" s="166">
        <v>1590</v>
      </c>
      <c r="D3702" s="166">
        <v>100</v>
      </c>
      <c r="E3702" s="166" t="s">
        <v>1107</v>
      </c>
      <c r="F3702" s="166">
        <v>769.37262842144253</v>
      </c>
    </row>
    <row r="3703" spans="1:6">
      <c r="A3703" s="403">
        <v>8785</v>
      </c>
      <c r="B3703" s="403">
        <v>18</v>
      </c>
      <c r="C3703" s="166">
        <v>1590</v>
      </c>
      <c r="D3703" s="166">
        <v>100</v>
      </c>
      <c r="E3703" s="166" t="s">
        <v>1107</v>
      </c>
      <c r="F3703" s="166">
        <v>769.37262842144253</v>
      </c>
    </row>
    <row r="3704" spans="1:6">
      <c r="A3704" s="403">
        <v>8865</v>
      </c>
      <c r="B3704" s="403">
        <v>18</v>
      </c>
      <c r="C3704" s="166">
        <v>1590</v>
      </c>
      <c r="D3704" s="166">
        <v>100</v>
      </c>
      <c r="E3704" s="166" t="s">
        <v>1107</v>
      </c>
      <c r="F3704" s="166">
        <v>769.37262842144253</v>
      </c>
    </row>
    <row r="3705" spans="1:6">
      <c r="A3705" s="403">
        <v>8873</v>
      </c>
      <c r="B3705" s="403">
        <v>18</v>
      </c>
      <c r="C3705" s="166">
        <v>1590</v>
      </c>
      <c r="D3705" s="166">
        <v>100</v>
      </c>
      <c r="E3705" s="166" t="s">
        <v>1107</v>
      </c>
      <c r="F3705" s="166">
        <v>769.37262842144253</v>
      </c>
    </row>
    <row r="3706" spans="1:6">
      <c r="A3706" s="403">
        <v>9000</v>
      </c>
      <c r="B3706" s="403">
        <v>51</v>
      </c>
      <c r="C3706" s="166">
        <v>325</v>
      </c>
      <c r="D3706" s="166">
        <v>1043</v>
      </c>
      <c r="E3706" s="166" t="s">
        <v>1104</v>
      </c>
      <c r="F3706" s="166">
        <v>580.41128456734828</v>
      </c>
    </row>
    <row r="3707" spans="1:6">
      <c r="A3707" s="403">
        <v>9001</v>
      </c>
      <c r="B3707" s="403">
        <v>51</v>
      </c>
      <c r="C3707" s="166">
        <v>325</v>
      </c>
      <c r="D3707" s="166">
        <v>1043</v>
      </c>
      <c r="E3707" s="166" t="s">
        <v>1104</v>
      </c>
      <c r="F3707" s="166">
        <v>580.41128456734828</v>
      </c>
    </row>
    <row r="3708" spans="1:6">
      <c r="A3708" s="403">
        <v>9002</v>
      </c>
      <c r="B3708" s="403">
        <v>51</v>
      </c>
      <c r="C3708" s="166">
        <v>325</v>
      </c>
      <c r="D3708" s="166">
        <v>1043</v>
      </c>
      <c r="E3708" s="166" t="s">
        <v>1104</v>
      </c>
      <c r="F3708" s="166">
        <v>580.41128456734828</v>
      </c>
    </row>
    <row r="3709" spans="1:6">
      <c r="A3709" s="403">
        <v>9003</v>
      </c>
      <c r="B3709" s="403">
        <v>51</v>
      </c>
      <c r="C3709" s="166">
        <v>325</v>
      </c>
      <c r="D3709" s="166">
        <v>1043</v>
      </c>
      <c r="E3709" s="166" t="s">
        <v>1104</v>
      </c>
      <c r="F3709" s="166">
        <v>580.41128456734828</v>
      </c>
    </row>
    <row r="3710" spans="1:6">
      <c r="A3710" s="403">
        <v>9005</v>
      </c>
      <c r="B3710" s="403">
        <v>51</v>
      </c>
      <c r="C3710" s="166">
        <v>325</v>
      </c>
      <c r="D3710" s="166">
        <v>1043</v>
      </c>
      <c r="E3710" s="166" t="s">
        <v>1104</v>
      </c>
      <c r="F3710" s="166">
        <v>580.41128456734828</v>
      </c>
    </row>
    <row r="3711" spans="1:6">
      <c r="A3711" s="403">
        <v>9007</v>
      </c>
      <c r="B3711" s="403">
        <v>51</v>
      </c>
      <c r="C3711" s="166">
        <v>325</v>
      </c>
      <c r="D3711" s="166">
        <v>1043</v>
      </c>
      <c r="E3711" s="166" t="s">
        <v>1104</v>
      </c>
      <c r="F3711" s="166">
        <v>580.41128456734828</v>
      </c>
    </row>
    <row r="3712" spans="1:6">
      <c r="A3712" s="403">
        <v>9008</v>
      </c>
      <c r="B3712" s="403">
        <v>51</v>
      </c>
      <c r="C3712" s="166">
        <v>325</v>
      </c>
      <c r="D3712" s="166">
        <v>1043</v>
      </c>
      <c r="E3712" s="166" t="s">
        <v>1104</v>
      </c>
      <c r="F3712" s="166">
        <v>580.41128456734828</v>
      </c>
    </row>
    <row r="3713" spans="1:6">
      <c r="A3713" s="403">
        <v>9009</v>
      </c>
      <c r="B3713" s="403">
        <v>51</v>
      </c>
      <c r="C3713" s="166">
        <v>325</v>
      </c>
      <c r="D3713" s="166">
        <v>1043</v>
      </c>
      <c r="E3713" s="166" t="s">
        <v>1104</v>
      </c>
      <c r="F3713" s="166">
        <v>580.41128456734828</v>
      </c>
    </row>
    <row r="3714" spans="1:6">
      <c r="A3714" s="403">
        <v>9010</v>
      </c>
      <c r="B3714" s="403">
        <v>51</v>
      </c>
      <c r="C3714" s="166">
        <v>325</v>
      </c>
      <c r="D3714" s="166">
        <v>1043</v>
      </c>
      <c r="E3714" s="166" t="s">
        <v>1104</v>
      </c>
      <c r="F3714" s="166">
        <v>580.41128456734828</v>
      </c>
    </row>
    <row r="3715" spans="1:6">
      <c r="A3715" s="403">
        <v>9013</v>
      </c>
      <c r="B3715" s="403">
        <v>51</v>
      </c>
      <c r="C3715" s="166">
        <v>325</v>
      </c>
      <c r="D3715" s="166">
        <v>1043</v>
      </c>
      <c r="E3715" s="166" t="s">
        <v>1104</v>
      </c>
      <c r="F3715" s="166">
        <v>580.41128456734828</v>
      </c>
    </row>
    <row r="3716" spans="1:6">
      <c r="A3716" s="403">
        <v>9015</v>
      </c>
      <c r="B3716" s="403">
        <v>51</v>
      </c>
      <c r="C3716" s="166">
        <v>325</v>
      </c>
      <c r="D3716" s="166">
        <v>1043</v>
      </c>
      <c r="E3716" s="166" t="s">
        <v>1104</v>
      </c>
      <c r="F3716" s="166">
        <v>580.41128456734828</v>
      </c>
    </row>
    <row r="3717" spans="1:6">
      <c r="A3717" s="403">
        <v>9016</v>
      </c>
      <c r="B3717" s="403">
        <v>51</v>
      </c>
      <c r="C3717" s="166">
        <v>325</v>
      </c>
      <c r="D3717" s="166">
        <v>1043</v>
      </c>
      <c r="E3717" s="166" t="s">
        <v>1104</v>
      </c>
      <c r="F3717" s="166">
        <v>580.41128456734828</v>
      </c>
    </row>
    <row r="3718" spans="1:6">
      <c r="A3718" s="403">
        <v>9017</v>
      </c>
      <c r="B3718" s="403">
        <v>51</v>
      </c>
      <c r="C3718" s="166">
        <v>325</v>
      </c>
      <c r="D3718" s="166">
        <v>1043</v>
      </c>
      <c r="E3718" s="166" t="s">
        <v>1104</v>
      </c>
      <c r="F3718" s="166">
        <v>580.41128456734828</v>
      </c>
    </row>
    <row r="3719" spans="1:6">
      <c r="A3719" s="403">
        <v>9018</v>
      </c>
      <c r="B3719" s="403">
        <v>51</v>
      </c>
      <c r="C3719" s="166">
        <v>325</v>
      </c>
      <c r="D3719" s="166">
        <v>1043</v>
      </c>
      <c r="E3719" s="166" t="s">
        <v>1104</v>
      </c>
      <c r="F3719" s="166">
        <v>580.41128456734828</v>
      </c>
    </row>
    <row r="3720" spans="1:6">
      <c r="A3720" s="403">
        <v>9019</v>
      </c>
      <c r="B3720" s="403">
        <v>51</v>
      </c>
      <c r="C3720" s="166">
        <v>325</v>
      </c>
      <c r="D3720" s="166">
        <v>1043</v>
      </c>
      <c r="E3720" s="166" t="s">
        <v>1104</v>
      </c>
      <c r="F3720" s="166">
        <v>580.41128456734828</v>
      </c>
    </row>
    <row r="3721" spans="1:6">
      <c r="A3721" s="403">
        <v>9020</v>
      </c>
      <c r="B3721" s="403">
        <v>51</v>
      </c>
      <c r="C3721" s="166">
        <v>325</v>
      </c>
      <c r="D3721" s="166">
        <v>1043</v>
      </c>
      <c r="E3721" s="166" t="s">
        <v>1104</v>
      </c>
      <c r="F3721" s="166">
        <v>580.41128456734828</v>
      </c>
    </row>
    <row r="3722" spans="1:6">
      <c r="A3722" s="403">
        <v>9021</v>
      </c>
      <c r="B3722" s="403">
        <v>51</v>
      </c>
      <c r="C3722" s="166">
        <v>325</v>
      </c>
      <c r="D3722" s="166">
        <v>1043</v>
      </c>
      <c r="E3722" s="166" t="s">
        <v>1104</v>
      </c>
      <c r="F3722" s="166">
        <v>580.41128456734828</v>
      </c>
    </row>
    <row r="3723" spans="1:6">
      <c r="A3723" s="403">
        <v>9022</v>
      </c>
      <c r="B3723" s="403">
        <v>51</v>
      </c>
      <c r="C3723" s="166">
        <v>325</v>
      </c>
      <c r="D3723" s="166">
        <v>1043</v>
      </c>
      <c r="E3723" s="166" t="s">
        <v>1104</v>
      </c>
      <c r="F3723" s="166">
        <v>580.41128456734828</v>
      </c>
    </row>
    <row r="3724" spans="1:6">
      <c r="A3724" s="403">
        <v>9023</v>
      </c>
      <c r="B3724" s="403">
        <v>51</v>
      </c>
      <c r="C3724" s="166">
        <v>325</v>
      </c>
      <c r="D3724" s="166">
        <v>1043</v>
      </c>
      <c r="E3724" s="166" t="s">
        <v>1104</v>
      </c>
      <c r="F3724" s="166">
        <v>580.41128456734828</v>
      </c>
    </row>
    <row r="3725" spans="1:6">
      <c r="A3725" s="403">
        <v>9464</v>
      </c>
      <c r="B3725" s="403">
        <v>51</v>
      </c>
      <c r="C3725" s="166">
        <v>325</v>
      </c>
      <c r="D3725" s="166">
        <v>1043</v>
      </c>
      <c r="E3725" s="166" t="s">
        <v>1104</v>
      </c>
      <c r="F3725" s="166">
        <v>580.41128456734828</v>
      </c>
    </row>
    <row r="3726" spans="1:6">
      <c r="A3726" s="403">
        <v>9466</v>
      </c>
      <c r="B3726" s="403">
        <v>51</v>
      </c>
      <c r="C3726" s="166">
        <v>325</v>
      </c>
      <c r="D3726" s="166">
        <v>1043</v>
      </c>
      <c r="E3726" s="166" t="s">
        <v>1104</v>
      </c>
      <c r="F3726" s="166">
        <v>580.41128456734828</v>
      </c>
    </row>
    <row r="3727" spans="1:6">
      <c r="A3727" s="403">
        <v>9726</v>
      </c>
      <c r="B3727" s="403">
        <v>51</v>
      </c>
      <c r="C3727" s="166">
        <v>325</v>
      </c>
      <c r="D3727" s="166">
        <v>1043</v>
      </c>
      <c r="E3727" s="166" t="s">
        <v>1104</v>
      </c>
      <c r="F3727" s="166">
        <v>580.41128456734828</v>
      </c>
    </row>
    <row r="3728" spans="1:6">
      <c r="A3728" s="403">
        <v>9727</v>
      </c>
      <c r="B3728" s="403">
        <v>51</v>
      </c>
      <c r="C3728" s="166">
        <v>325</v>
      </c>
      <c r="D3728" s="166">
        <v>1043</v>
      </c>
      <c r="E3728" s="166" t="s">
        <v>1104</v>
      </c>
      <c r="F3728" s="166">
        <v>580.41128456734828</v>
      </c>
    </row>
    <row r="3729" spans="1:6">
      <c r="A3729" s="403">
        <v>9728</v>
      </c>
      <c r="B3729" s="403">
        <v>51</v>
      </c>
      <c r="C3729" s="166">
        <v>325</v>
      </c>
      <c r="D3729" s="166">
        <v>1043</v>
      </c>
      <c r="E3729" s="166" t="s">
        <v>1104</v>
      </c>
      <c r="F3729" s="166">
        <v>580.41128456734828</v>
      </c>
    </row>
    <row r="3730" spans="1:6">
      <c r="A3730" s="403">
        <v>9729</v>
      </c>
      <c r="B3730" s="403">
        <v>51</v>
      </c>
      <c r="C3730" s="166">
        <v>325</v>
      </c>
      <c r="D3730" s="166">
        <v>1043</v>
      </c>
      <c r="E3730" s="166" t="s">
        <v>1104</v>
      </c>
      <c r="F3730" s="166">
        <v>580.41128456734828</v>
      </c>
    </row>
  </sheetData>
  <phoneticPr fontId="15" type="noConversion"/>
  <pageMargins left="0.7" right="0.7" top="0.75" bottom="0.75" header="0.3" footer="0.3"/>
  <pageSetup paperSize="9" orientation="portrait" horizontalDpi="4294967293" verticalDpi="0" r:id="rId1"/>
  <tableParts count="1">
    <tablePart r:id="rId2"/>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B7335-985A-499C-A882-F3F29238A0C1}">
  <sheetPr codeName="Sheet27">
    <tabColor rgb="FF8AD1F3"/>
  </sheetPr>
  <dimension ref="A1:J89"/>
  <sheetViews>
    <sheetView showGridLines="0" zoomScale="80" zoomScaleNormal="80" workbookViewId="0">
      <selection activeCell="F5" sqref="F5"/>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4.28515625" style="1" customWidth="1"/>
    <col min="8" max="8" width="2.28515625" style="1" customWidth="1"/>
    <col min="9" max="9" width="20.5703125" style="1" customWidth="1"/>
    <col min="10"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1281</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1282</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22</v>
      </c>
      <c r="C10" s="55"/>
      <c r="D10" s="55"/>
      <c r="E10" s="55"/>
      <c r="F10" s="55"/>
      <c r="G10" s="55"/>
      <c r="H10" s="55"/>
    </row>
    <row r="11" spans="1:10" ht="10.5" customHeight="1">
      <c r="B11" s="57"/>
      <c r="C11" s="55"/>
      <c r="D11" s="55"/>
      <c r="E11" s="55"/>
      <c r="F11" s="55"/>
      <c r="G11" s="55"/>
      <c r="H11" s="55"/>
    </row>
    <row r="12" spans="1:10" s="22" customFormat="1" ht="30" customHeight="1">
      <c r="B12" s="24"/>
      <c r="C12" s="23"/>
      <c r="D12" s="23"/>
      <c r="E12" s="74"/>
      <c r="F12" s="51" t="s">
        <v>23</v>
      </c>
      <c r="G12" s="23"/>
      <c r="H12" s="23"/>
      <c r="I12" s="23"/>
      <c r="J12" s="23"/>
    </row>
    <row r="13" spans="1:10" s="22" customFormat="1" ht="17.25" customHeight="1">
      <c r="B13" s="25" t="str">
        <f>IF(MOD(Hospital_Target_Energy*10,1)/10&lt;=0,"","ERROR: Energy Rating must be in 0.1 star increment")</f>
        <v/>
      </c>
      <c r="C13" s="23"/>
      <c r="D13" s="23"/>
      <c r="E13" s="26"/>
      <c r="F13" s="23"/>
      <c r="G13" s="23"/>
      <c r="H13" s="23"/>
    </row>
    <row r="14" spans="1:10" s="22" customFormat="1" ht="30" customHeight="1">
      <c r="B14" s="24"/>
      <c r="C14" s="24"/>
      <c r="D14" s="24"/>
      <c r="E14" s="74"/>
      <c r="F14" s="51" t="s">
        <v>23</v>
      </c>
      <c r="G14" s="24"/>
      <c r="H14" s="24"/>
    </row>
    <row r="15" spans="1:10" ht="13.5" customHeight="1">
      <c r="B15" s="25" t="str">
        <f>IF(MOD(Hospital_Target_Water*10,1)/10&lt;=0,"","ERROR: Water Rating must be in 0.1 star increment")</f>
        <v/>
      </c>
      <c r="C15" s="6"/>
      <c r="D15" s="6"/>
      <c r="E15" s="7"/>
      <c r="F15" s="314"/>
      <c r="G15" s="6"/>
      <c r="H15" s="6"/>
    </row>
    <row r="16" spans="1:10" ht="13.5" customHeight="1">
      <c r="B16" s="6"/>
      <c r="C16" s="6"/>
      <c r="D16" s="6"/>
      <c r="E16" s="7"/>
      <c r="F16" s="314"/>
      <c r="G16" s="6"/>
      <c r="H16" s="6"/>
    </row>
    <row r="17" spans="1:10" ht="13.5" customHeight="1">
      <c r="B17" s="6"/>
      <c r="C17" s="6"/>
      <c r="D17" s="6"/>
      <c r="E17" s="7"/>
      <c r="F17" s="314"/>
      <c r="G17" s="6"/>
      <c r="H17" s="6"/>
    </row>
    <row r="18" spans="1:10" ht="13.5" customHeight="1">
      <c r="B18" s="58"/>
      <c r="I18" s="14"/>
    </row>
    <row r="19" spans="1:10" ht="17.25" customHeight="1">
      <c r="B19" s="56" t="s">
        <v>24</v>
      </c>
      <c r="C19" s="55"/>
      <c r="D19" s="55"/>
      <c r="E19" s="55"/>
      <c r="F19" s="55"/>
      <c r="G19" s="55"/>
      <c r="H19" s="55"/>
    </row>
    <row r="20" spans="1:10" ht="10.5" customHeight="1">
      <c r="B20" s="312"/>
      <c r="C20" s="312"/>
      <c r="D20" s="312"/>
      <c r="E20" s="312"/>
      <c r="F20" s="312"/>
      <c r="G20" s="312"/>
      <c r="H20" s="312"/>
      <c r="I20" s="313"/>
      <c r="J20" s="313"/>
    </row>
    <row r="21" spans="1:10" s="8" customFormat="1" ht="20.25" customHeight="1">
      <c r="A21" s="71"/>
      <c r="B21" s="274" t="s">
        <v>1283</v>
      </c>
      <c r="C21" s="78"/>
      <c r="D21" s="78"/>
      <c r="E21" s="78"/>
      <c r="F21" s="78"/>
      <c r="G21" s="79"/>
      <c r="I21" s="273"/>
    </row>
    <row r="22" spans="1:10" s="8" customFormat="1" ht="25.5" customHeight="1">
      <c r="A22" s="71"/>
      <c r="B22" s="275" t="s">
        <v>1284</v>
      </c>
      <c r="C22" s="324"/>
      <c r="D22" s="324"/>
      <c r="E22" s="324"/>
      <c r="F22" s="324"/>
      <c r="G22" s="325"/>
      <c r="I22" s="351" t="s">
        <v>21</v>
      </c>
    </row>
    <row r="23" spans="1:10" s="8" customFormat="1" ht="20.25" customHeight="1">
      <c r="A23" s="71"/>
      <c r="B23" s="275" t="s">
        <v>1285</v>
      </c>
      <c r="C23" s="9"/>
      <c r="D23" s="9"/>
      <c r="E23" s="9"/>
      <c r="F23" s="9"/>
      <c r="G23" s="326"/>
      <c r="H23" s="10"/>
      <c r="I23" s="284"/>
    </row>
    <row r="24" spans="1:10" s="8" customFormat="1" ht="20.25" customHeight="1">
      <c r="A24" s="71"/>
      <c r="B24" s="275" t="s">
        <v>1286</v>
      </c>
      <c r="C24" s="9"/>
      <c r="D24" s="9"/>
      <c r="E24" s="9"/>
      <c r="F24" s="9"/>
      <c r="G24" s="326"/>
      <c r="H24" s="10"/>
      <c r="I24" s="284"/>
    </row>
    <row r="25" spans="1:10" s="8" customFormat="1" ht="20.25" customHeight="1">
      <c r="A25" s="71"/>
      <c r="B25" s="275" t="s">
        <v>1287</v>
      </c>
      <c r="C25" s="9"/>
      <c r="D25" s="9"/>
      <c r="E25" s="9"/>
      <c r="F25" s="9"/>
      <c r="G25" s="326"/>
      <c r="H25" s="10"/>
      <c r="I25" s="284"/>
    </row>
    <row r="26" spans="1:10" s="8" customFormat="1" ht="20.25" customHeight="1">
      <c r="A26" s="71"/>
      <c r="B26" s="276" t="s">
        <v>1288</v>
      </c>
      <c r="C26" s="80"/>
      <c r="D26" s="80"/>
      <c r="E26" s="80"/>
      <c r="F26" s="80"/>
      <c r="G26" s="81"/>
      <c r="H26" s="10"/>
      <c r="I26" s="284"/>
    </row>
    <row r="27" spans="1:10" s="8" customFormat="1" ht="12.75" customHeight="1">
      <c r="A27" s="71"/>
      <c r="B27" s="11"/>
      <c r="C27" s="9"/>
      <c r="D27" s="9"/>
      <c r="E27" s="9"/>
      <c r="F27" s="9"/>
      <c r="G27" s="9"/>
      <c r="H27" s="10"/>
      <c r="I27" s="327"/>
    </row>
    <row r="28" spans="1:10" s="8" customFormat="1" ht="20.25" customHeight="1">
      <c r="A28" s="71"/>
      <c r="B28" s="663" t="s">
        <v>27</v>
      </c>
      <c r="C28" s="666"/>
      <c r="D28" s="666"/>
      <c r="E28" s="666"/>
      <c r="F28" s="666"/>
      <c r="G28" s="309" t="s">
        <v>28</v>
      </c>
      <c r="H28" s="12"/>
      <c r="I28" s="84"/>
    </row>
    <row r="29" spans="1:10" s="8" customFormat="1" ht="20.25" customHeight="1">
      <c r="A29" s="71"/>
      <c r="B29" s="60" t="str">
        <f>IF(SUM(Hospital_Elec_Percent,Hospital_Gas_Percent,Hospital_LPG_Percent,Hospital_Diesel_Percent)=1,"","ERROR: Percentage breakdown must total 100%")</f>
        <v>ERROR: Percentage breakdown must total 100%</v>
      </c>
      <c r="C29" s="13"/>
      <c r="D29" s="13"/>
      <c r="E29" s="13"/>
      <c r="F29" s="13"/>
      <c r="G29" s="305" t="s">
        <v>29</v>
      </c>
      <c r="H29" s="17"/>
      <c r="I29" s="84"/>
    </row>
    <row r="30" spans="1:10" s="8" customFormat="1" ht="20.25" customHeight="1">
      <c r="A30" s="71"/>
      <c r="B30" s="60"/>
      <c r="C30" s="13"/>
      <c r="D30" s="13"/>
      <c r="E30" s="13"/>
      <c r="F30" s="13"/>
      <c r="G30" s="305" t="s">
        <v>1289</v>
      </c>
      <c r="H30" s="17"/>
      <c r="I30" s="84"/>
    </row>
    <row r="31" spans="1:10" s="8" customFormat="1" ht="20.25" customHeight="1">
      <c r="A31" s="71"/>
      <c r="B31" s="62"/>
      <c r="C31" s="63"/>
      <c r="D31" s="63"/>
      <c r="E31" s="63"/>
      <c r="F31" s="63"/>
      <c r="G31" s="81" t="s">
        <v>30</v>
      </c>
      <c r="H31" s="17"/>
      <c r="I31" s="84"/>
    </row>
    <row r="32" spans="1:10" ht="19.5" customHeight="1">
      <c r="B32" s="328"/>
      <c r="C32" s="329"/>
      <c r="D32" s="329"/>
      <c r="E32" s="329"/>
      <c r="F32" s="329"/>
      <c r="G32" s="329"/>
      <c r="H32" s="329"/>
      <c r="I32" s="330"/>
    </row>
    <row r="33" spans="1:10" ht="13.9" thickBot="1">
      <c r="B33" s="628"/>
      <c r="C33" s="629"/>
      <c r="D33" s="629"/>
      <c r="E33" s="629"/>
      <c r="F33" s="629"/>
      <c r="G33" s="629"/>
      <c r="H33" s="629"/>
      <c r="I33" s="630"/>
    </row>
    <row r="34" spans="1:10" ht="18.600000000000001" thickTop="1" thickBot="1">
      <c r="B34" s="631" t="s">
        <v>31</v>
      </c>
      <c r="C34" s="88"/>
      <c r="D34" s="88"/>
      <c r="E34" s="88"/>
      <c r="F34" s="88"/>
      <c r="G34" s="88"/>
      <c r="H34" s="88"/>
      <c r="I34" s="90"/>
    </row>
    <row r="35" spans="1:10" ht="16.149999999999999" thickTop="1">
      <c r="B35" s="632"/>
      <c r="C35" s="632"/>
      <c r="D35" s="632"/>
      <c r="E35" s="632"/>
      <c r="F35" s="632"/>
      <c r="G35" s="632"/>
      <c r="H35" s="632"/>
      <c r="I35" s="313"/>
      <c r="J35" s="313"/>
    </row>
    <row r="36" spans="1:10" ht="18" customHeight="1">
      <c r="C36" s="29" t="s">
        <v>1290</v>
      </c>
      <c r="D36" s="16"/>
      <c r="G36" s="65" t="e">
        <f>INDEX(tbl_Hospital_Multi[],1,MATCH($J36,tbl_Hospital_Multi[#Headers],0))</f>
        <v>#N/A</v>
      </c>
      <c r="H36" s="15"/>
      <c r="I36" s="334" t="s">
        <v>33</v>
      </c>
      <c r="J36" s="95" t="s">
        <v>474</v>
      </c>
    </row>
    <row r="37" spans="1:10" ht="18" customHeight="1">
      <c r="C37" s="16"/>
      <c r="D37" s="16"/>
      <c r="G37" s="15"/>
      <c r="H37" s="15"/>
      <c r="J37" s="96"/>
    </row>
    <row r="38" spans="1:10" ht="18" customHeight="1">
      <c r="C38" s="31" t="str">
        <f>CONCATENATE("Maximum Benchmarking Emissions at ",Hospital_Target_Energy, " Star NABERS Energy")</f>
        <v>Maximum Benchmarking Emissions at  Star NABERS Energy</v>
      </c>
      <c r="D38" s="16"/>
      <c r="G38" s="65" t="e">
        <f>INDEX(tbl_Hospital_Multi[],1,MATCH($J38,tbl_Hospital_Multi[#Headers],0))</f>
        <v>#N/A</v>
      </c>
      <c r="H38" s="15"/>
      <c r="I38" s="334" t="s">
        <v>33</v>
      </c>
      <c r="J38" s="95" t="s">
        <v>35</v>
      </c>
    </row>
    <row r="39" spans="1:10" ht="18" customHeight="1">
      <c r="C39" s="16"/>
      <c r="D39" s="16"/>
      <c r="H39" s="15"/>
      <c r="J39" s="96"/>
    </row>
    <row r="40" spans="1:10" ht="18" customHeight="1">
      <c r="C40" s="16"/>
      <c r="D40" s="16"/>
      <c r="H40" s="15"/>
      <c r="J40" s="96"/>
    </row>
    <row r="41" spans="1:10" ht="18" customHeight="1">
      <c r="C41" s="29" t="s">
        <v>1291</v>
      </c>
      <c r="D41" s="16"/>
      <c r="G41" s="65" t="e">
        <f>INDEX(tbl_Hospital_Multi[],1,MATCH($J41,tbl_Hospital_Multi[#Headers],0))</f>
        <v>#N/A</v>
      </c>
      <c r="H41" s="15"/>
      <c r="I41" s="334" t="s">
        <v>33</v>
      </c>
      <c r="J41" s="95" t="s">
        <v>37</v>
      </c>
    </row>
    <row r="42" spans="1:10" ht="18" customHeight="1">
      <c r="C42" s="16"/>
      <c r="D42" s="16"/>
      <c r="G42" s="15"/>
      <c r="H42" s="15"/>
      <c r="J42" s="96"/>
    </row>
    <row r="43" spans="1:10" ht="18" customHeight="1">
      <c r="C43" s="29" t="s">
        <v>1292</v>
      </c>
      <c r="D43" s="16"/>
      <c r="G43" s="65" t="e">
        <f>INDEX(tbl_Hospital_Multi[],1,MATCH($J43,tbl_Hospital_Multi[#Headers],0))</f>
        <v>#N/A</v>
      </c>
      <c r="H43" s="15"/>
      <c r="I43" s="334" t="s">
        <v>33</v>
      </c>
      <c r="J43" s="95" t="s">
        <v>1293</v>
      </c>
    </row>
    <row r="44" spans="1:10" s="8" customFormat="1" ht="18" customHeight="1">
      <c r="A44" s="1"/>
      <c r="B44" s="1"/>
      <c r="C44" s="16"/>
      <c r="D44" s="16"/>
      <c r="E44" s="1"/>
      <c r="F44" s="1"/>
      <c r="G44" s="15"/>
      <c r="H44" s="15"/>
      <c r="I44" s="1"/>
      <c r="J44" s="96"/>
    </row>
    <row r="45" spans="1:10" s="8" customFormat="1" ht="18" customHeight="1">
      <c r="A45" s="1"/>
      <c r="B45" s="1"/>
      <c r="C45" s="16"/>
      <c r="D45" s="16"/>
      <c r="E45" s="1"/>
      <c r="F45" s="1"/>
      <c r="G45" s="15"/>
      <c r="H45" s="15"/>
      <c r="I45" s="1"/>
      <c r="J45" s="96"/>
    </row>
    <row r="46" spans="1:10" ht="18" customHeight="1">
      <c r="C46" s="16" t="str">
        <f>CONCATENATE("Benchmarking Emissions Intensity at ",Hospital_Target_Energy, " Star NABERS Energy")</f>
        <v>Benchmarking Emissions Intensity at  Star NABERS Energy</v>
      </c>
      <c r="G46" s="379" t="e">
        <f>INDEX(tbl_Hospital_Multi[],1,MATCH($J46,tbl_Hospital_Multi[#Headers],0))</f>
        <v>#N/A</v>
      </c>
      <c r="I46" s="334" t="s">
        <v>1294</v>
      </c>
      <c r="J46" s="95" t="s">
        <v>41</v>
      </c>
    </row>
    <row r="47" spans="1:10" ht="18" customHeight="1">
      <c r="C47" s="16"/>
      <c r="D47" s="16"/>
      <c r="G47" s="15"/>
      <c r="H47" s="15"/>
      <c r="J47" s="96"/>
    </row>
    <row r="48" spans="1:10" ht="18" customHeight="1">
      <c r="C48" s="16" t="str">
        <f>CONCATENATE("Energy Intensity at ",Hospital_Target_Energy, " Star NABERS Energy")</f>
        <v>Energy Intensity at  Star NABERS Energy</v>
      </c>
      <c r="G48" s="379" t="e">
        <f>INDEX(tbl_Hospital_Multi[],1,MATCH($J48,tbl_Hospital_Multi[#Headers],0))</f>
        <v>#N/A</v>
      </c>
      <c r="I48" s="334" t="s">
        <v>1295</v>
      </c>
      <c r="J48" s="95" t="s">
        <v>43</v>
      </c>
    </row>
    <row r="49" spans="1:10" ht="18" customHeight="1">
      <c r="C49" s="16"/>
      <c r="D49" s="16"/>
      <c r="G49" s="15"/>
      <c r="H49" s="15"/>
      <c r="J49" s="96"/>
    </row>
    <row r="50" spans="1:10" ht="18" customHeight="1">
      <c r="C50" s="16"/>
      <c r="D50" s="16"/>
      <c r="G50" s="15"/>
      <c r="H50" s="15"/>
      <c r="J50" s="96"/>
    </row>
    <row r="51" spans="1:10" ht="18" customHeight="1">
      <c r="C51" s="76" t="s">
        <v>44</v>
      </c>
      <c r="D51" s="312"/>
      <c r="E51" s="8"/>
      <c r="F51" s="8"/>
      <c r="J51" s="96"/>
    </row>
    <row r="52" spans="1:10" ht="16.899999999999999">
      <c r="C52" s="66"/>
      <c r="D52" s="66"/>
      <c r="E52" s="8"/>
      <c r="F52" s="67" t="s">
        <v>45</v>
      </c>
      <c r="G52" s="65" t="e">
        <f>INDEX(tbl_Hospital_Multi[],1,MATCH($J52,tbl_Hospital_Multi[#Headers],0))</f>
        <v>#N/A</v>
      </c>
      <c r="H52" s="335"/>
      <c r="I52" s="335" t="s">
        <v>46</v>
      </c>
      <c r="J52" s="95" t="s">
        <v>47</v>
      </c>
    </row>
    <row r="53" spans="1:10" ht="16.899999999999999">
      <c r="C53" s="66"/>
      <c r="D53" s="66"/>
      <c r="E53" s="8"/>
      <c r="F53" s="67" t="s">
        <v>48</v>
      </c>
      <c r="G53" s="65" t="e">
        <f>INDEX(tbl_Hospital_Multi[],1,MATCH($J53,tbl_Hospital_Multi[#Headers],0))</f>
        <v>#N/A</v>
      </c>
      <c r="H53" s="335"/>
      <c r="I53" s="335" t="s">
        <v>49</v>
      </c>
      <c r="J53" s="95" t="s">
        <v>50</v>
      </c>
    </row>
    <row r="54" spans="1:10" ht="16.899999999999999">
      <c r="C54" s="66"/>
      <c r="D54" s="66"/>
      <c r="F54" s="67" t="s">
        <v>51</v>
      </c>
      <c r="G54" s="65" t="e">
        <f>INDEX(tbl_Hospital_Multi[],1,MATCH($J54,tbl_Hospital_Multi[#Headers],0))</f>
        <v>#N/A</v>
      </c>
      <c r="H54" s="335"/>
      <c r="I54" s="335" t="s">
        <v>52</v>
      </c>
      <c r="J54" s="95" t="s">
        <v>53</v>
      </c>
    </row>
    <row r="55" spans="1:10" ht="16.899999999999999">
      <c r="C55" s="66"/>
      <c r="D55" s="66"/>
      <c r="F55" s="67" t="s">
        <v>1296</v>
      </c>
      <c r="G55" s="65" t="e">
        <f>INDEX(tbl_Hospital_Multi[],1,MATCH($J55,tbl_Hospital_Multi[#Headers],0))</f>
        <v>#N/A</v>
      </c>
      <c r="H55" s="335"/>
      <c r="I55" s="335" t="s">
        <v>52</v>
      </c>
      <c r="J55" s="95" t="s">
        <v>864</v>
      </c>
    </row>
    <row r="56" spans="1:10" ht="13.9" thickBot="1">
      <c r="A56" s="90"/>
      <c r="B56" s="90"/>
      <c r="C56" s="90"/>
      <c r="D56" s="90"/>
      <c r="E56" s="90"/>
      <c r="F56" s="90"/>
      <c r="G56" s="90"/>
      <c r="H56" s="90"/>
      <c r="I56" s="90"/>
      <c r="J56" s="95"/>
    </row>
    <row r="57" spans="1:10" ht="13.9" thickTop="1">
      <c r="J57" s="95"/>
    </row>
    <row r="58" spans="1:10" ht="18" customHeight="1">
      <c r="A58" s="32"/>
      <c r="B58" s="33"/>
      <c r="C58" s="29" t="s">
        <v>1297</v>
      </c>
      <c r="E58" s="28"/>
      <c r="F58" s="28"/>
      <c r="G58" s="336" t="e">
        <f>INDEX(tbl_Hospital_Multi[],1,MATCH($J58,tbl_Hospital_Multi[#Headers],0))</f>
        <v>#N/A</v>
      </c>
      <c r="H58" s="30"/>
      <c r="I58" s="337" t="s">
        <v>54</v>
      </c>
      <c r="J58" s="95" t="s">
        <v>480</v>
      </c>
    </row>
    <row r="59" spans="1:10" ht="18" customHeight="1">
      <c r="A59" s="32"/>
      <c r="B59" s="33"/>
      <c r="C59" s="83" t="str">
        <f>IF(ISNUMBER(#REF!),#REF!,"")</f>
        <v/>
      </c>
      <c r="E59" s="83"/>
      <c r="F59" s="83"/>
      <c r="G59" s="34"/>
      <c r="I59" s="22"/>
      <c r="J59" s="98"/>
    </row>
    <row r="60" spans="1:10" ht="18" customHeight="1">
      <c r="A60" s="32"/>
      <c r="B60" s="33"/>
      <c r="C60" s="31" t="str">
        <f>CONCATENATE("Maximum Water Consumption at ",Hospital_Target_Water, " Star NABERS Water")</f>
        <v>Maximum Water Consumption at  Star NABERS Water</v>
      </c>
      <c r="E60" s="27"/>
      <c r="F60" s="22"/>
      <c r="G60" s="336" t="e">
        <f>INDEX(tbl_Hospital_Multi[],1,MATCH($J60,tbl_Hospital_Multi[#Headers],0))</f>
        <v>#N/A</v>
      </c>
      <c r="I60" s="337" t="s">
        <v>54</v>
      </c>
      <c r="J60" s="97" t="s">
        <v>55</v>
      </c>
    </row>
    <row r="61" spans="1:10" ht="18" customHeight="1">
      <c r="A61" s="22"/>
      <c r="B61" s="28"/>
      <c r="C61" s="28"/>
      <c r="D61" s="848" t="str">
        <f>IF(ISNUMBER(#REF!),#REF!,"")</f>
        <v/>
      </c>
      <c r="E61" s="848"/>
      <c r="F61" s="848"/>
      <c r="G61" s="34"/>
      <c r="I61" s="35"/>
      <c r="J61" s="22"/>
    </row>
    <row r="62" spans="1:10" ht="18" customHeight="1">
      <c r="A62" s="22"/>
      <c r="B62" s="28"/>
      <c r="C62" s="28"/>
      <c r="D62" s="375"/>
      <c r="E62" s="375"/>
      <c r="F62" s="375"/>
      <c r="G62" s="34"/>
      <c r="I62" s="35"/>
      <c r="J62" s="22"/>
    </row>
    <row r="63" spans="1:10" ht="18" customHeight="1">
      <c r="A63" s="22"/>
      <c r="B63" s="28"/>
      <c r="C63" s="23" t="str">
        <f>CONCATENATE("Water Intensity at ",Hospital_Target_Water, " Star NABERS Water")</f>
        <v>Water Intensity at  Star NABERS Water</v>
      </c>
      <c r="G63" s="381" t="e">
        <f>INDEX(tbl_Hospital_Multi[],1,MATCH($J63,tbl_Hospital_Multi[#Headers],0))</f>
        <v>#N/A</v>
      </c>
      <c r="H63" s="32"/>
      <c r="I63" s="337" t="s">
        <v>1298</v>
      </c>
      <c r="J63" s="95" t="s">
        <v>57</v>
      </c>
    </row>
    <row r="66" spans="2:10" ht="13.9" thickBot="1"/>
    <row r="67" spans="2:10" ht="18.600000000000001" thickTop="1" thickBot="1">
      <c r="B67" s="92" t="s">
        <v>58</v>
      </c>
      <c r="C67" s="87"/>
      <c r="D67" s="87"/>
      <c r="E67" s="87"/>
      <c r="F67" s="87"/>
      <c r="G67" s="87"/>
      <c r="H67" s="87"/>
      <c r="I67" s="91"/>
    </row>
    <row r="68" spans="2:10" ht="13.9" thickTop="1"/>
    <row r="69" spans="2:10">
      <c r="B69" s="668" t="s">
        <v>59</v>
      </c>
      <c r="C69" s="669"/>
      <c r="D69" s="669"/>
      <c r="E69" s="669"/>
      <c r="F69" s="670" t="s">
        <v>60</v>
      </c>
      <c r="G69" s="356"/>
    </row>
    <row r="70" spans="2:10">
      <c r="B70" s="19"/>
      <c r="C70" s="20"/>
      <c r="D70" s="20"/>
      <c r="E70" s="20"/>
      <c r="F70" s="21" t="s">
        <v>61</v>
      </c>
      <c r="G70" s="356"/>
    </row>
    <row r="71" spans="2:10">
      <c r="B71" s="19"/>
      <c r="C71" s="20"/>
      <c r="D71" s="20"/>
      <c r="E71" s="20"/>
      <c r="F71" s="21" t="s">
        <v>62</v>
      </c>
      <c r="G71" s="356"/>
    </row>
    <row r="72" spans="2:10">
      <c r="B72" s="100"/>
      <c r="C72" s="20"/>
      <c r="D72" s="20"/>
      <c r="E72" s="20"/>
      <c r="F72" s="21" t="s">
        <v>869</v>
      </c>
      <c r="G72" s="356"/>
    </row>
    <row r="73" spans="2:10">
      <c r="B73" s="18"/>
      <c r="C73" s="99"/>
      <c r="D73" s="99"/>
      <c r="E73" s="99"/>
      <c r="F73" s="21" t="s">
        <v>63</v>
      </c>
      <c r="G73" s="357"/>
    </row>
    <row r="74" spans="2:10">
      <c r="B74" s="111" t="s">
        <v>64</v>
      </c>
      <c r="C74" s="103"/>
      <c r="D74" s="103"/>
      <c r="E74" s="103"/>
      <c r="F74" s="104" t="s">
        <v>870</v>
      </c>
      <c r="G74" s="170" t="e">
        <f>INDEX(tbl_Hospital_Multi[],1,MATCH($J74,tbl_Hospital_Multi[#Headers],0))</f>
        <v>#N/A</v>
      </c>
      <c r="I74" s="334"/>
      <c r="J74" s="95" t="s">
        <v>483</v>
      </c>
    </row>
    <row r="75" spans="2:10">
      <c r="B75" s="114"/>
      <c r="C75" s="106"/>
      <c r="D75" s="106"/>
      <c r="E75" s="106"/>
      <c r="F75" s="107" t="s">
        <v>67</v>
      </c>
      <c r="G75" s="141" t="e">
        <f>INDEX(tbl_Hospital_Multi[],1,MATCH($J75,tbl_Hospital_Multi[#Headers],0))</f>
        <v>#N/A</v>
      </c>
      <c r="J75" s="95" t="s">
        <v>68</v>
      </c>
    </row>
    <row r="76" spans="2:10">
      <c r="B76" s="105"/>
      <c r="C76" s="106"/>
      <c r="D76" s="106"/>
      <c r="E76" s="106"/>
      <c r="F76" s="107" t="s">
        <v>69</v>
      </c>
      <c r="G76" s="141" t="e">
        <f>INDEX(tbl_Hospital_Multi[],1,MATCH($J76,tbl_Hospital_Multi[#Headers],0))</f>
        <v>#N/A</v>
      </c>
      <c r="H76" s="17"/>
      <c r="J76" s="95" t="s">
        <v>70</v>
      </c>
    </row>
    <row r="77" spans="2:10">
      <c r="B77" s="114"/>
      <c r="C77" s="106"/>
      <c r="D77" s="106"/>
      <c r="E77" s="106"/>
      <c r="F77" s="107" t="s">
        <v>1299</v>
      </c>
      <c r="G77" s="170" t="e">
        <f>INDEX(tbl_Hospital_Multi[],1,MATCH($J77,tbl_Hospital_Multi[#Headers],0))</f>
        <v>#N/A</v>
      </c>
      <c r="H77" s="17"/>
      <c r="I77" s="334"/>
      <c r="J77" s="95" t="s">
        <v>484</v>
      </c>
    </row>
    <row r="78" spans="2:10">
      <c r="B78" s="105"/>
      <c r="C78" s="106"/>
      <c r="D78" s="106"/>
      <c r="E78" s="106"/>
      <c r="F78" s="107" t="s">
        <v>73</v>
      </c>
      <c r="G78" s="141" t="e">
        <f>INDEX(tbl_Hospital_Multi[],1,MATCH($J78,tbl_Hospital_Multi[#Headers],0))</f>
        <v>#N/A</v>
      </c>
      <c r="H78" s="17"/>
      <c r="J78" s="95" t="s">
        <v>74</v>
      </c>
    </row>
    <row r="79" spans="2:10">
      <c r="B79" s="108"/>
      <c r="C79" s="109"/>
      <c r="D79" s="109"/>
      <c r="E79" s="109"/>
      <c r="F79" s="110" t="s">
        <v>75</v>
      </c>
      <c r="G79" s="141" t="e">
        <f>INDEX(tbl_Hospital_Multi[],1,MATCH($J79,tbl_Hospital_Multi[#Headers],0))</f>
        <v>#N/A</v>
      </c>
      <c r="H79" s="17"/>
      <c r="J79" s="95" t="s">
        <v>76</v>
      </c>
    </row>
    <row r="80" spans="2:10">
      <c r="B80" s="13"/>
      <c r="C80" s="13"/>
      <c r="D80" s="13"/>
      <c r="E80" s="65"/>
      <c r="F80" s="65"/>
      <c r="G80" s="65"/>
      <c r="H80" s="17"/>
    </row>
    <row r="82" spans="2:10">
      <c r="B82" s="112" t="s">
        <v>77</v>
      </c>
      <c r="C82" s="113"/>
      <c r="D82" s="113"/>
      <c r="E82" s="113"/>
      <c r="F82" s="102" t="s">
        <v>78</v>
      </c>
      <c r="G82" s="356"/>
    </row>
    <row r="83" spans="2:10">
      <c r="B83" s="115"/>
      <c r="C83" s="99"/>
      <c r="D83" s="99"/>
      <c r="E83" s="99"/>
      <c r="F83" s="101" t="s">
        <v>79</v>
      </c>
      <c r="G83" s="357"/>
      <c r="H83" s="12"/>
    </row>
    <row r="84" spans="2:10">
      <c r="B84" s="128" t="s">
        <v>80</v>
      </c>
      <c r="C84" s="129"/>
      <c r="D84" s="129"/>
      <c r="E84" s="129"/>
      <c r="F84" s="130" t="s">
        <v>876</v>
      </c>
      <c r="G84" s="157" t="e">
        <f>INDEX(tbl_Hospital_Multi[],1,MATCH($J84,tbl_Hospital_Multi[#Headers],0))</f>
        <v>#DIV/0!</v>
      </c>
      <c r="I84" s="337"/>
      <c r="J84" s="95" t="s">
        <v>486</v>
      </c>
    </row>
    <row r="85" spans="2:10">
      <c r="B85" s="131"/>
      <c r="C85" s="132"/>
      <c r="D85" s="132"/>
      <c r="E85" s="132"/>
      <c r="F85" s="133" t="s">
        <v>84</v>
      </c>
      <c r="G85" s="139" t="e">
        <f>INDEX(tbl_Hospital_Multi[],1,MATCH($J85,tbl_Hospital_Multi[#Headers],0))</f>
        <v>#DIV/0!</v>
      </c>
      <c r="J85" s="95" t="s">
        <v>85</v>
      </c>
    </row>
    <row r="86" spans="2:10">
      <c r="B86" s="131"/>
      <c r="C86" s="132"/>
      <c r="D86" s="132"/>
      <c r="E86" s="132"/>
      <c r="F86" s="133" t="s">
        <v>86</v>
      </c>
      <c r="G86" s="139" t="e">
        <f>INDEX(tbl_Hospital_Multi[],1,MATCH($J86,tbl_Hospital_Multi[#Headers],0))</f>
        <v>#DIV/0!</v>
      </c>
      <c r="J86" s="95" t="s">
        <v>87</v>
      </c>
    </row>
    <row r="87" spans="2:10">
      <c r="B87" s="131"/>
      <c r="C87" s="132"/>
      <c r="D87" s="132"/>
      <c r="E87" s="132"/>
      <c r="F87" s="133" t="s">
        <v>880</v>
      </c>
      <c r="G87" s="157" t="e">
        <f>INDEX(tbl_Hospital_Multi[],1,MATCH($J87,tbl_Hospital_Multi[#Headers],0))</f>
        <v>#DIV/0!</v>
      </c>
      <c r="I87" s="337"/>
      <c r="J87" s="95" t="s">
        <v>488</v>
      </c>
    </row>
    <row r="88" spans="2:10">
      <c r="B88" s="134"/>
      <c r="C88" s="132"/>
      <c r="D88" s="132"/>
      <c r="E88" s="132"/>
      <c r="F88" s="133" t="s">
        <v>90</v>
      </c>
      <c r="G88" s="139" t="e">
        <f>INDEX(tbl_Hospital_Multi[],1,MATCH($J88,tbl_Hospital_Multi[#Headers],0))</f>
        <v>#DIV/0!</v>
      </c>
      <c r="J88" s="95" t="s">
        <v>91</v>
      </c>
    </row>
    <row r="89" spans="2:10">
      <c r="B89" s="135"/>
      <c r="C89" s="136"/>
      <c r="D89" s="136"/>
      <c r="E89" s="136"/>
      <c r="F89" s="137" t="s">
        <v>92</v>
      </c>
      <c r="G89" s="139" t="e">
        <f>INDEX(tbl_Hospital_Multi[],1,MATCH($J89,tbl_Hospital_Multi[#Headers],0))</f>
        <v>#DIV/0!</v>
      </c>
      <c r="J89" s="95" t="s">
        <v>93</v>
      </c>
    </row>
  </sheetData>
  <sheetProtection algorithmName="SHA-512" hashValue="Z9AfW2lBnOEBrEi5Su0rWJxAX7O9l5iVwsdArNYt5kaYLa4oyQgCfRSK8W8w5/2YLo2qdGC5az7SQA93avIEpA==" saltValue="xdoLRSUV4++3gY99xLn3Eg==" spinCount="100000" sheet="1" formatCells="0" formatColumns="0" formatRows="0" insertColumns="0" insertRows="0" insertHyperlinks="0" deleteColumns="0" deleteRows="0" sort="0" autoFilter="0" pivotTables="0"/>
  <dataConsolidate/>
  <mergeCells count="4">
    <mergeCell ref="G3:I3"/>
    <mergeCell ref="B4:I4"/>
    <mergeCell ref="B7:I7"/>
    <mergeCell ref="D61:F61"/>
  </mergeCells>
  <conditionalFormatting sqref="C59 E59:F59 D61:F62">
    <cfRule type="expression" dxfId="752" priority="17" stopIfTrue="1">
      <formula>($D$11="")</formula>
    </cfRule>
  </conditionalFormatting>
  <conditionalFormatting sqref="E12">
    <cfRule type="cellIs" dxfId="751" priority="19" stopIfTrue="1" operator="between">
      <formula>0</formula>
      <formula>5</formula>
    </cfRule>
  </conditionalFormatting>
  <conditionalFormatting sqref="E14">
    <cfRule type="cellIs" dxfId="750" priority="18" stopIfTrue="1" operator="between">
      <formula>0</formula>
      <formula>5</formula>
    </cfRule>
  </conditionalFormatting>
  <conditionalFormatting sqref="G52:G55">
    <cfRule type="expression" dxfId="749" priority="1" stopIfTrue="1">
      <formula>(#REF!="")</formula>
    </cfRule>
    <cfRule type="expression" dxfId="748" priority="2" stopIfTrue="1">
      <formula>OR(#REF!="ERROR: Rating must be in 0.5 star increment")</formula>
    </cfRule>
  </conditionalFormatting>
  <conditionalFormatting sqref="G69:G73">
    <cfRule type="expression" dxfId="747" priority="16" stopIfTrue="1">
      <formula>($B$24="ERROR: Percentage breakdown must total 100%")</formula>
    </cfRule>
  </conditionalFormatting>
  <conditionalFormatting sqref="G82:G83">
    <cfRule type="expression" dxfId="746" priority="14" stopIfTrue="1">
      <formula>($B$24="ERROR: Percentage breakdown must total 100%")</formula>
    </cfRule>
  </conditionalFormatting>
  <conditionalFormatting sqref="I18">
    <cfRule type="cellIs" dxfId="745" priority="22" stopIfTrue="1" operator="between">
      <formula>0</formula>
      <formula>5</formula>
    </cfRule>
  </conditionalFormatting>
  <conditionalFormatting sqref="I28:I31">
    <cfRule type="expression" dxfId="744" priority="10">
      <formula>NOT(SUM($I$28:$I$31)=1)</formula>
    </cfRule>
  </conditionalFormatting>
  <dataValidations disablePrompts="1" count="4">
    <dataValidation type="decimal" allowBlank="1" showInputMessage="1" showErrorMessage="1" sqref="I18 E12:E17 WFO12:WFO14 VVS12:VVS14 VLW12:VLW14 VCA12:VCA14 USE12:USE14 UII12:UII14 TYM12:TYM14 TOQ12:TOQ14 TEU12:TEU14 SUY12:SUY14 SLC12:SLC14 SBG12:SBG14 RRK12:RRK14 RHO12:RHO14 QXS12:QXS14 QNW12:QNW14 QEA12:QEA14 PUE12:PUE14 PKI12:PKI14 PAM12:PAM14 OQQ12:OQQ14 OGU12:OGU14 NWY12:NWY14 NNC12:NNC14 NDG12:NDG14 MTK12:MTK14 MJO12:MJO14 LZS12:LZS14 LPW12:LPW14 LGA12:LGA14 KWE12:KWE14 KMI12:KMI14 KCM12:KCM14 JSQ12:JSQ14 JIU12:JIU14 IYY12:IYY14 IPC12:IPC14 IFG12:IFG14 HVK12:HVK14 HLO12:HLO14 HBS12:HBS14 GRW12:GRW14 GIA12:GIA14 FYE12:FYE14 FOI12:FOI14 FEM12:FEM14 EUQ12:EUQ14 EKU12:EKU14 EAY12:EAY14 DRC12:DRC14 DHG12:DHG14 CXK12:CXK14 CNO12:CNO14 CDS12:CDS14 BTW12:BTW14 BKA12:BKA14 BAE12:BAE14 AQI12:AQI14 AGM12:AGM14 WQ12:WQ14 MU12:MU14 CY12:CY14 WPK12:WPK14" xr:uid="{8BF56E51-3FC4-45C0-8342-65EB6240805F}">
      <formula1>0</formula1>
      <formula2>6</formula2>
    </dataValidation>
    <dataValidation type="list" allowBlank="1" showInputMessage="1" showErrorMessage="1" error="Please select from specified menu" sqref="I22" xr:uid="{AB8F84C5-3B02-4A20-BF5E-3DEFCE521AA4}">
      <formula1>List_Hospital_Peer_Group</formula1>
    </dataValidation>
    <dataValidation type="whole" allowBlank="1" showInputMessage="1" showErrorMessage="1" sqref="I21" xr:uid="{A2BB345B-99F5-4091-B7F3-63DCB4393714}">
      <formula1>200</formula1>
      <formula2>10000</formula2>
    </dataValidation>
    <dataValidation type="whole" operator="greaterThanOrEqual" allowBlank="1" showInputMessage="1" showErrorMessage="1" sqref="I23:I26" xr:uid="{3647C12E-C802-41CE-9BF2-D1CD1AE20EFB}">
      <formula1>0</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EC390-76B2-4467-B624-05DBEA0942C7}">
  <sheetPr codeName="Sheet28"/>
  <dimension ref="A1:HD10"/>
  <sheetViews>
    <sheetView zoomScale="70" zoomScaleNormal="70" workbookViewId="0">
      <pane ySplit="3" topLeftCell="A4" activePane="bottomLeft" state="frozen"/>
      <selection pane="bottomLeft" activeCell="A4" sqref="A4"/>
      <selection activeCell="E18" sqref="E18"/>
    </sheetView>
  </sheetViews>
  <sheetFormatPr defaultColWidth="9.28515625" defaultRowHeight="16.5" customHeight="1"/>
  <cols>
    <col min="1" max="1" width="19.28515625" style="36" customWidth="1"/>
    <col min="2" max="2" width="14" style="36" customWidth="1"/>
    <col min="3" max="3" width="11.28515625" style="49" customWidth="1"/>
    <col min="4" max="4" width="36.7109375" style="49" customWidth="1"/>
    <col min="5" max="8" width="9.28515625" style="49" bestFit="1" customWidth="1"/>
    <col min="9" max="12" width="12.28515625" style="36" customWidth="1"/>
    <col min="13" max="13" width="12.28515625" style="49" customWidth="1"/>
    <col min="14" max="14" width="11.5703125" style="49" customWidth="1"/>
    <col min="15" max="17" width="17.7109375" style="49" customWidth="1"/>
    <col min="18" max="18" width="12" style="36" customWidth="1"/>
    <col min="19" max="21" width="18.7109375" style="36" customWidth="1"/>
    <col min="22" max="22" width="16.5703125" style="36" customWidth="1"/>
    <col min="23" max="23" width="11" style="36" customWidth="1"/>
    <col min="24" max="24" width="17" style="36" customWidth="1"/>
    <col min="25" max="25" width="14" style="36" customWidth="1"/>
    <col min="26" max="26" width="9.28515625" style="49"/>
    <col min="27" max="27" width="13.7109375" style="49" customWidth="1"/>
    <col min="28" max="28" width="12.5703125" style="36" bestFit="1" customWidth="1"/>
    <col min="29" max="31" width="12.28515625" style="36" bestFit="1" customWidth="1"/>
    <col min="32" max="32" width="10.5703125" style="49" customWidth="1"/>
    <col min="33" max="33" width="10.85546875" style="36" customWidth="1"/>
    <col min="34" max="34" width="11" style="36" customWidth="1"/>
    <col min="35" max="44" width="9.28515625" style="49"/>
    <col min="45" max="46" width="9.7109375" style="36" bestFit="1" customWidth="1"/>
    <col min="47" max="47" width="9.28515625" style="36" bestFit="1" customWidth="1"/>
    <col min="48" max="48" width="9.28515625" style="36" customWidth="1"/>
    <col min="49" max="50" width="9.28515625" style="49" bestFit="1" customWidth="1"/>
    <col min="51" max="51" width="9.28515625" style="49"/>
    <col min="52" max="53" width="9.28515625" style="49" bestFit="1" customWidth="1"/>
    <col min="54" max="54" width="9.85546875" style="49" customWidth="1"/>
    <col min="55" max="55" width="9.28515625" style="49" bestFit="1" customWidth="1"/>
    <col min="56" max="56" width="9.28515625" style="49"/>
    <col min="57" max="57" width="9.28515625" style="36" customWidth="1"/>
    <col min="58" max="58" width="10" style="36" bestFit="1" customWidth="1"/>
    <col min="59" max="59" width="10" style="36" customWidth="1"/>
    <col min="60" max="60" width="9.28515625" style="36" customWidth="1"/>
    <col min="61" max="61" width="9.7109375" style="49" bestFit="1" customWidth="1"/>
    <col min="62" max="62" width="9.28515625" style="49"/>
    <col min="63" max="63" width="10.7109375" style="36" customWidth="1"/>
    <col min="64" max="68" width="10.7109375" style="49" customWidth="1"/>
    <col min="69" max="69" width="10.7109375" style="36" customWidth="1"/>
    <col min="70" max="70" width="10.7109375" style="49" customWidth="1"/>
    <col min="71" max="72" width="10.7109375" style="36" customWidth="1"/>
    <col min="73" max="73" width="11.28515625" style="49" customWidth="1"/>
    <col min="74" max="75" width="10.28515625" style="36" customWidth="1"/>
    <col min="76" max="76" width="11.28515625" style="49" bestFit="1" customWidth="1"/>
    <col min="77" max="77" width="9.28515625" style="49"/>
    <col min="78" max="85" width="10.28515625" style="36" customWidth="1"/>
    <col min="86" max="86" width="9.28515625" style="49"/>
    <col min="87" max="87" width="10.28515625" style="36" customWidth="1"/>
    <col min="88" max="88" width="9.28515625" style="36" bestFit="1" customWidth="1"/>
    <col min="89" max="89" width="14.28515625" style="36" customWidth="1"/>
    <col min="90" max="90" width="17.7109375" style="36" customWidth="1"/>
    <col min="91" max="91" width="12.5703125" style="36" bestFit="1" customWidth="1"/>
    <col min="92" max="92" width="15.7109375" style="36" customWidth="1"/>
    <col min="93" max="93" width="13" style="36" bestFit="1" customWidth="1"/>
    <col min="94" max="94" width="16.28515625" style="36" customWidth="1"/>
    <col min="95" max="95" width="17.7109375" style="36" customWidth="1"/>
    <col min="96" max="97" width="13.28515625" style="36" customWidth="1"/>
    <col min="98" max="98" width="9.28515625" style="49"/>
    <col min="99" max="99" width="10.28515625" style="36" customWidth="1"/>
    <col min="100" max="100" width="10.7109375" style="36" customWidth="1"/>
    <col min="101" max="104" width="9.28515625" style="36" customWidth="1"/>
    <col min="105" max="107" width="9.28515625" style="49" customWidth="1"/>
    <col min="108" max="108" width="10.85546875" style="36" bestFit="1" customWidth="1"/>
    <col min="109" max="109" width="9.28515625" style="49" bestFit="1" customWidth="1"/>
    <col min="110" max="110" width="9.28515625" style="49" customWidth="1"/>
    <col min="111" max="111" width="12.28515625" style="36" customWidth="1"/>
    <col min="112" max="115" width="9.28515625" style="49" bestFit="1" customWidth="1"/>
    <col min="116" max="116" width="11" style="49" customWidth="1"/>
    <col min="117" max="122" width="9.28515625" style="49" customWidth="1"/>
    <col min="123" max="123" width="9.28515625" style="36" customWidth="1"/>
    <col min="124" max="124" width="13.5703125" style="36" customWidth="1"/>
    <col min="125" max="128" width="9.28515625" style="36" customWidth="1"/>
    <col min="129" max="129" width="9.28515625" style="49" customWidth="1"/>
    <col min="130" max="135" width="9.28515625" style="36" customWidth="1"/>
    <col min="136" max="136" width="14.28515625" style="36" bestFit="1" customWidth="1"/>
    <col min="137" max="137" width="9.28515625" style="36" customWidth="1"/>
    <col min="138" max="145" width="9.7109375" style="36" bestFit="1" customWidth="1"/>
    <col min="146" max="146" width="9.7109375" style="36" customWidth="1"/>
    <col min="147" max="148" width="9.7109375" style="36" bestFit="1" customWidth="1"/>
    <col min="149" max="150" width="9.7109375" style="49" bestFit="1" customWidth="1"/>
    <col min="151" max="157" width="9.28515625" style="49" bestFit="1" customWidth="1"/>
    <col min="158" max="158" width="9.28515625" style="49" customWidth="1"/>
    <col min="159" max="160" width="9.7109375" style="49" bestFit="1" customWidth="1"/>
    <col min="161" max="161" width="9.7109375" style="36" bestFit="1" customWidth="1"/>
    <col min="162" max="162" width="10.85546875" style="36" bestFit="1" customWidth="1"/>
    <col min="163" max="168" width="10.28515625" style="36" bestFit="1" customWidth="1"/>
    <col min="169" max="169" width="11.28515625" style="36" bestFit="1" customWidth="1"/>
    <col min="170" max="182" width="11.28515625" style="36" customWidth="1"/>
    <col min="183" max="184" width="11.28515625" style="36" bestFit="1" customWidth="1"/>
    <col min="185" max="186" width="11.28515625" style="36" customWidth="1"/>
    <col min="187" max="187" width="14.28515625" style="36" bestFit="1" customWidth="1"/>
    <col min="188" max="189" width="10.85546875" style="36" bestFit="1" customWidth="1"/>
    <col min="190" max="190" width="9.7109375" style="36" bestFit="1" customWidth="1"/>
    <col min="191" max="192" width="10.85546875" style="36" bestFit="1" customWidth="1"/>
    <col min="193" max="193" width="9.7109375" style="36" bestFit="1" customWidth="1"/>
    <col min="194" max="194" width="9.7109375" style="36" customWidth="1"/>
    <col min="195" max="196" width="9.7109375" style="36" bestFit="1" customWidth="1"/>
    <col min="197" max="198" width="10.28515625" style="36" bestFit="1" customWidth="1"/>
    <col min="199" max="212" width="9.28515625" style="49"/>
    <col min="213" max="220" width="11.28515625" style="36" customWidth="1"/>
    <col min="221" max="242" width="9.28515625" style="36" bestFit="1" customWidth="1"/>
    <col min="243" max="243" width="9.28515625" style="36" customWidth="1"/>
    <col min="244" max="244" width="10.85546875" style="36" customWidth="1"/>
    <col min="245" max="246" width="12.28515625" style="36" customWidth="1"/>
    <col min="247" max="247" width="12.7109375" style="36" customWidth="1"/>
    <col min="248" max="16384" width="9.28515625" style="36"/>
  </cols>
  <sheetData>
    <row r="1" spans="1:212" ht="16.5" customHeight="1">
      <c r="A1" s="534"/>
      <c r="B1" s="535"/>
      <c r="C1" s="201" t="s">
        <v>1300</v>
      </c>
      <c r="D1" s="195"/>
      <c r="E1" s="195"/>
      <c r="F1" s="195"/>
      <c r="G1" s="195"/>
      <c r="H1" s="196"/>
      <c r="I1" s="202" t="s">
        <v>96</v>
      </c>
      <c r="J1" s="195"/>
      <c r="K1" s="195"/>
      <c r="L1" s="195"/>
      <c r="M1" s="204" t="s">
        <v>97</v>
      </c>
      <c r="N1" s="205"/>
      <c r="O1" s="205"/>
      <c r="P1" s="205"/>
      <c r="Q1" s="205"/>
      <c r="R1" s="205"/>
      <c r="S1" s="205"/>
      <c r="T1" s="205"/>
      <c r="U1" s="205"/>
      <c r="V1" s="205"/>
      <c r="W1" s="258"/>
      <c r="X1" s="531" t="s">
        <v>491</v>
      </c>
      <c r="Y1" s="531"/>
      <c r="Z1" s="383"/>
      <c r="AA1" s="203"/>
      <c r="AB1" s="124" t="s">
        <v>98</v>
      </c>
      <c r="AC1" s="122"/>
      <c r="AD1" s="124"/>
      <c r="AE1" s="123"/>
      <c r="AF1" s="124"/>
      <c r="AG1" s="121" t="s">
        <v>99</v>
      </c>
      <c r="AH1" s="125"/>
      <c r="AI1" s="208" t="s">
        <v>668</v>
      </c>
      <c r="AJ1" s="117"/>
      <c r="AK1" s="117"/>
      <c r="AL1" s="116"/>
      <c r="AM1" s="117"/>
      <c r="AN1" s="117"/>
      <c r="AO1" s="118" t="s">
        <v>742</v>
      </c>
      <c r="AP1" s="119"/>
      <c r="AQ1" s="119"/>
      <c r="AR1" s="120"/>
      <c r="AS1" s="119" t="s">
        <v>103</v>
      </c>
      <c r="AT1" s="117"/>
      <c r="AU1" s="117"/>
      <c r="AV1" s="117"/>
      <c r="AW1" s="117"/>
      <c r="AX1" s="117"/>
      <c r="AY1" s="117"/>
      <c r="AZ1" s="118" t="s">
        <v>104</v>
      </c>
      <c r="BA1" s="117"/>
      <c r="BB1" s="117"/>
      <c r="BC1" s="117"/>
      <c r="BD1" s="117"/>
      <c r="BE1" s="117"/>
      <c r="BF1" s="117"/>
      <c r="BG1" s="116"/>
      <c r="BH1" s="191"/>
      <c r="BI1" s="311" t="s">
        <v>105</v>
      </c>
      <c r="BJ1" s="191"/>
      <c r="BK1" s="191"/>
      <c r="BL1" s="191"/>
      <c r="BM1" s="191"/>
      <c r="BN1" s="191"/>
      <c r="BO1" s="191"/>
      <c r="BP1" s="118" t="s">
        <v>106</v>
      </c>
      <c r="BQ1" s="119"/>
      <c r="BR1" s="143"/>
      <c r="BS1" s="117"/>
      <c r="BT1" s="117"/>
      <c r="BU1" s="310" t="s">
        <v>1301</v>
      </c>
      <c r="BV1" s="191"/>
      <c r="BW1" s="191"/>
      <c r="BX1" s="191"/>
      <c r="BY1" s="191"/>
      <c r="BZ1" s="191"/>
      <c r="CA1" s="191"/>
      <c r="CB1" s="191"/>
      <c r="CC1" s="191"/>
      <c r="CD1" s="191"/>
      <c r="CE1" s="192"/>
      <c r="CF1" s="290" t="s">
        <v>1302</v>
      </c>
      <c r="CG1" s="94"/>
      <c r="CH1" s="174"/>
      <c r="CI1" s="207" t="s">
        <v>1008</v>
      </c>
      <c r="CJ1" s="251"/>
      <c r="CK1" s="251"/>
      <c r="CL1" s="251"/>
      <c r="CM1" s="251"/>
      <c r="CN1" s="251"/>
      <c r="CO1" s="251"/>
      <c r="CP1" s="251"/>
      <c r="CQ1" s="251"/>
      <c r="CR1" s="251"/>
      <c r="CS1" s="251"/>
      <c r="CT1" s="251"/>
      <c r="CU1" s="207" t="s">
        <v>496</v>
      </c>
      <c r="CV1" s="251"/>
      <c r="CW1" s="251"/>
      <c r="CX1" s="251"/>
      <c r="CY1" s="251"/>
      <c r="CZ1" s="251"/>
      <c r="DA1" s="251"/>
      <c r="DB1" s="251"/>
      <c r="DC1" s="251"/>
      <c r="DD1" s="251"/>
      <c r="DE1" s="251"/>
      <c r="DF1" s="251"/>
      <c r="DG1" s="197"/>
      <c r="DH1" s="251"/>
      <c r="DI1" s="251"/>
      <c r="DJ1" s="251"/>
      <c r="DK1" s="251"/>
      <c r="DL1" s="251"/>
      <c r="DM1" s="251"/>
      <c r="DN1" s="251"/>
      <c r="DO1" s="251"/>
      <c r="DP1" s="251"/>
      <c r="DQ1" s="251"/>
      <c r="DR1" s="251"/>
      <c r="DS1" s="197"/>
      <c r="DT1" s="251"/>
      <c r="DU1" s="251"/>
      <c r="DV1" s="251"/>
      <c r="DW1" s="251"/>
      <c r="DX1" s="251"/>
      <c r="DY1" s="251"/>
      <c r="DZ1" s="251"/>
      <c r="EA1" s="251"/>
      <c r="EB1" s="251"/>
      <c r="EC1" s="251"/>
      <c r="ED1" s="251"/>
      <c r="EE1" s="197"/>
      <c r="EF1" s="251"/>
      <c r="EG1" s="251"/>
      <c r="EH1" s="251"/>
      <c r="EI1" s="251"/>
      <c r="EJ1" s="251"/>
      <c r="EK1" s="251"/>
      <c r="EL1" s="251"/>
      <c r="EM1" s="251"/>
      <c r="EN1" s="251"/>
      <c r="EO1" s="251"/>
      <c r="EP1" s="198"/>
      <c r="EQ1" s="251"/>
      <c r="ER1" s="251"/>
      <c r="ES1" s="251"/>
      <c r="ET1" s="251"/>
      <c r="EU1" s="251"/>
      <c r="EV1" s="251"/>
      <c r="EW1" s="251"/>
      <c r="EX1" s="251"/>
      <c r="EY1" s="251"/>
      <c r="EZ1" s="251"/>
      <c r="FA1" s="251"/>
      <c r="FB1" s="251"/>
      <c r="FC1" s="197"/>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07" t="s">
        <v>1303</v>
      </c>
      <c r="GB1" s="251"/>
      <c r="GC1" s="251"/>
      <c r="GD1" s="251"/>
      <c r="GE1" s="251"/>
      <c r="GF1" s="251"/>
      <c r="GG1" s="251"/>
      <c r="GH1" s="251"/>
      <c r="GI1" s="251"/>
      <c r="GJ1" s="251"/>
      <c r="GK1" s="251"/>
      <c r="GL1" s="251"/>
      <c r="GM1" s="118" t="s">
        <v>670</v>
      </c>
      <c r="GN1" s="119"/>
      <c r="GO1" s="119"/>
      <c r="GP1" s="119"/>
      <c r="GQ1" s="119"/>
      <c r="GR1" s="119"/>
      <c r="GS1" s="117"/>
      <c r="GT1" s="117"/>
      <c r="GU1" s="118" t="s">
        <v>745</v>
      </c>
      <c r="GV1" s="117"/>
      <c r="GW1" s="117"/>
      <c r="GX1" s="117"/>
      <c r="GY1" s="117"/>
      <c r="GZ1" s="116"/>
      <c r="HA1" s="36"/>
      <c r="HB1" s="36"/>
      <c r="HC1" s="36"/>
      <c r="HD1" s="36"/>
    </row>
    <row r="2" spans="1:212" ht="80.45" customHeight="1">
      <c r="C2" s="185" t="s">
        <v>1283</v>
      </c>
      <c r="D2" s="568" t="s">
        <v>1284</v>
      </c>
      <c r="E2" s="259" t="s">
        <v>1285</v>
      </c>
      <c r="F2" s="259" t="s">
        <v>1286</v>
      </c>
      <c r="G2" s="259" t="s">
        <v>1287</v>
      </c>
      <c r="H2" s="259" t="s">
        <v>1304</v>
      </c>
      <c r="I2" s="259" t="s">
        <v>116</v>
      </c>
      <c r="J2" s="259" t="s">
        <v>117</v>
      </c>
      <c r="K2" s="254" t="s">
        <v>892</v>
      </c>
      <c r="L2" s="259" t="s">
        <v>118</v>
      </c>
      <c r="M2" s="36"/>
      <c r="N2" s="36"/>
      <c r="O2" s="36"/>
      <c r="P2" s="36"/>
      <c r="Q2" s="36"/>
      <c r="Z2" s="36"/>
      <c r="AA2" s="36"/>
      <c r="AB2" s="253" t="s">
        <v>60</v>
      </c>
      <c r="AC2" s="253" t="s">
        <v>61</v>
      </c>
      <c r="AD2" s="253" t="s">
        <v>869</v>
      </c>
      <c r="AE2" s="253" t="s">
        <v>62</v>
      </c>
      <c r="AF2" s="253" t="s">
        <v>119</v>
      </c>
      <c r="AG2" s="537" t="s">
        <v>120</v>
      </c>
      <c r="AH2" s="537" t="s">
        <v>121</v>
      </c>
      <c r="AI2" s="538" t="s">
        <v>122</v>
      </c>
      <c r="AJ2" s="538" t="s">
        <v>123</v>
      </c>
      <c r="AK2" s="538" t="s">
        <v>124</v>
      </c>
      <c r="AL2" s="538" t="s">
        <v>125</v>
      </c>
      <c r="AM2" s="538" t="s">
        <v>1305</v>
      </c>
      <c r="AN2" s="538" t="s">
        <v>1306</v>
      </c>
      <c r="AO2" s="257" t="s">
        <v>1307</v>
      </c>
      <c r="AP2" s="239" t="s">
        <v>1308</v>
      </c>
      <c r="AQ2" s="239" t="s">
        <v>1309</v>
      </c>
      <c r="AR2" s="240" t="s">
        <v>1310</v>
      </c>
      <c r="AS2" s="230" t="s">
        <v>129</v>
      </c>
      <c r="AT2" s="230" t="s">
        <v>904</v>
      </c>
      <c r="AU2" s="230" t="s">
        <v>130</v>
      </c>
      <c r="AV2" s="230" t="s">
        <v>1311</v>
      </c>
      <c r="AW2" s="230" t="s">
        <v>1312</v>
      </c>
      <c r="AX2" s="230" t="s">
        <v>1313</v>
      </c>
      <c r="AY2" s="230" t="s">
        <v>1314</v>
      </c>
      <c r="AZ2" s="569" t="s">
        <v>134</v>
      </c>
      <c r="BA2" s="539" t="s">
        <v>135</v>
      </c>
      <c r="BB2" s="539" t="s">
        <v>905</v>
      </c>
      <c r="BC2" s="539" t="s">
        <v>136</v>
      </c>
      <c r="BD2" s="539" t="s">
        <v>137</v>
      </c>
      <c r="BE2" s="539" t="s">
        <v>138</v>
      </c>
      <c r="BF2" s="539" t="s">
        <v>906</v>
      </c>
      <c r="BG2" s="570" t="s">
        <v>139</v>
      </c>
      <c r="BH2" s="225" t="s">
        <v>1315</v>
      </c>
      <c r="BI2" s="225"/>
      <c r="BJ2" s="225"/>
      <c r="BK2" s="225"/>
      <c r="BL2" s="225"/>
      <c r="BM2" s="225"/>
      <c r="BN2" s="225"/>
      <c r="BO2" s="225"/>
      <c r="BP2" s="187" t="s">
        <v>770</v>
      </c>
      <c r="BQ2" s="175" t="s">
        <v>772</v>
      </c>
      <c r="BR2" s="540" t="s">
        <v>773</v>
      </c>
      <c r="BS2" s="175" t="s">
        <v>774</v>
      </c>
      <c r="BT2" s="175" t="s">
        <v>775</v>
      </c>
      <c r="BU2" s="232"/>
      <c r="BV2" s="242" t="s">
        <v>1316</v>
      </c>
      <c r="BW2" s="242"/>
      <c r="BX2" s="242" t="s">
        <v>1317</v>
      </c>
      <c r="BY2" s="242"/>
      <c r="BZ2" s="242" t="s">
        <v>1318</v>
      </c>
      <c r="CA2" s="242" t="s">
        <v>1319</v>
      </c>
      <c r="CB2" s="242" t="s">
        <v>1320</v>
      </c>
      <c r="CC2" s="242" t="s">
        <v>1321</v>
      </c>
      <c r="CD2" s="233"/>
      <c r="CE2" s="233"/>
      <c r="CF2" s="149"/>
      <c r="CG2" s="147"/>
      <c r="CH2" s="148"/>
      <c r="CI2" s="615" t="s">
        <v>1322</v>
      </c>
      <c r="CJ2" s="615" t="s">
        <v>1323</v>
      </c>
      <c r="CK2" s="615" t="s">
        <v>1324</v>
      </c>
      <c r="CL2" s="615" t="s">
        <v>1325</v>
      </c>
      <c r="CM2" s="615" t="s">
        <v>1326</v>
      </c>
      <c r="CN2" s="615" t="s">
        <v>1327</v>
      </c>
      <c r="CO2" s="615" t="s">
        <v>1328</v>
      </c>
      <c r="CP2" s="615" t="s">
        <v>1329</v>
      </c>
      <c r="CQ2" s="615" t="s">
        <v>1330</v>
      </c>
      <c r="CR2" s="615" t="s">
        <v>1331</v>
      </c>
      <c r="CS2" s="615" t="s">
        <v>1332</v>
      </c>
      <c r="CT2" s="615" t="s">
        <v>1333</v>
      </c>
      <c r="CU2" s="219" t="s">
        <v>1334</v>
      </c>
      <c r="CV2" s="220" t="s">
        <v>1335</v>
      </c>
      <c r="CW2" s="220" t="s">
        <v>1336</v>
      </c>
      <c r="CX2" s="220" t="s">
        <v>1337</v>
      </c>
      <c r="CY2" s="220" t="s">
        <v>1338</v>
      </c>
      <c r="CZ2" s="220" t="s">
        <v>1339</v>
      </c>
      <c r="DA2" s="220" t="s">
        <v>1340</v>
      </c>
      <c r="DB2" s="220" t="s">
        <v>1341</v>
      </c>
      <c r="DC2" s="220" t="s">
        <v>1342</v>
      </c>
      <c r="DD2" s="220" t="s">
        <v>1343</v>
      </c>
      <c r="DE2" s="220" t="s">
        <v>1344</v>
      </c>
      <c r="DF2" s="220" t="s">
        <v>1345</v>
      </c>
      <c r="DG2" s="219" t="s">
        <v>203</v>
      </c>
      <c r="DH2" s="220" t="s">
        <v>204</v>
      </c>
      <c r="DI2" s="220" t="s">
        <v>205</v>
      </c>
      <c r="DJ2" s="220" t="s">
        <v>206</v>
      </c>
      <c r="DK2" s="220" t="s">
        <v>207</v>
      </c>
      <c r="DL2" s="220" t="s">
        <v>208</v>
      </c>
      <c r="DM2" s="220" t="s">
        <v>209</v>
      </c>
      <c r="DN2" s="220" t="s">
        <v>210</v>
      </c>
      <c r="DO2" s="220" t="s">
        <v>211</v>
      </c>
      <c r="DP2" s="220" t="s">
        <v>212</v>
      </c>
      <c r="DQ2" s="220" t="s">
        <v>213</v>
      </c>
      <c r="DR2" s="220" t="s">
        <v>214</v>
      </c>
      <c r="DS2" s="219" t="s">
        <v>215</v>
      </c>
      <c r="DT2" s="220" t="s">
        <v>216</v>
      </c>
      <c r="DU2" s="220" t="s">
        <v>217</v>
      </c>
      <c r="DV2" s="220" t="s">
        <v>218</v>
      </c>
      <c r="DW2" s="220" t="s">
        <v>219</v>
      </c>
      <c r="DX2" s="220" t="s">
        <v>220</v>
      </c>
      <c r="DY2" s="220" t="s">
        <v>221</v>
      </c>
      <c r="DZ2" s="220" t="s">
        <v>222</v>
      </c>
      <c r="EA2" s="220" t="s">
        <v>223</v>
      </c>
      <c r="EB2" s="220" t="s">
        <v>224</v>
      </c>
      <c r="EC2" s="220" t="s">
        <v>225</v>
      </c>
      <c r="ED2" s="220" t="s">
        <v>226</v>
      </c>
      <c r="EE2" s="219" t="s">
        <v>227</v>
      </c>
      <c r="EF2" s="220" t="s">
        <v>228</v>
      </c>
      <c r="EG2" s="220" t="s">
        <v>229</v>
      </c>
      <c r="EH2" s="220" t="s">
        <v>230</v>
      </c>
      <c r="EI2" s="220" t="s">
        <v>231</v>
      </c>
      <c r="EJ2" s="220" t="s">
        <v>232</v>
      </c>
      <c r="EK2" s="220" t="s">
        <v>233</v>
      </c>
      <c r="EL2" s="220" t="s">
        <v>234</v>
      </c>
      <c r="EM2" s="220" t="s">
        <v>235</v>
      </c>
      <c r="EN2" s="220" t="s">
        <v>236</v>
      </c>
      <c r="EO2" s="220" t="s">
        <v>237</v>
      </c>
      <c r="EP2" s="220" t="s">
        <v>238</v>
      </c>
      <c r="EQ2" s="219" t="s">
        <v>936</v>
      </c>
      <c r="ER2" s="220" t="s">
        <v>937</v>
      </c>
      <c r="ES2" s="220" t="s">
        <v>938</v>
      </c>
      <c r="ET2" s="220" t="s">
        <v>939</v>
      </c>
      <c r="EU2" s="220" t="s">
        <v>940</v>
      </c>
      <c r="EV2" s="220" t="s">
        <v>941</v>
      </c>
      <c r="EW2" s="220" t="s">
        <v>942</v>
      </c>
      <c r="EX2" s="220" t="s">
        <v>943</v>
      </c>
      <c r="EY2" s="220" t="s">
        <v>944</v>
      </c>
      <c r="EZ2" s="220" t="s">
        <v>945</v>
      </c>
      <c r="FA2" s="220" t="s">
        <v>946</v>
      </c>
      <c r="FB2" s="220" t="s">
        <v>947</v>
      </c>
      <c r="FC2" s="219" t="s">
        <v>239</v>
      </c>
      <c r="FD2" s="220" t="s">
        <v>240</v>
      </c>
      <c r="FE2" s="220" t="s">
        <v>241</v>
      </c>
      <c r="FF2" s="220" t="s">
        <v>242</v>
      </c>
      <c r="FG2" s="220" t="s">
        <v>243</v>
      </c>
      <c r="FH2" s="220" t="s">
        <v>244</v>
      </c>
      <c r="FI2" s="220" t="s">
        <v>245</v>
      </c>
      <c r="FJ2" s="220" t="s">
        <v>246</v>
      </c>
      <c r="FK2" s="220" t="s">
        <v>247</v>
      </c>
      <c r="FL2" s="220" t="s">
        <v>248</v>
      </c>
      <c r="FM2" s="220" t="s">
        <v>249</v>
      </c>
      <c r="FN2" s="220" t="s">
        <v>250</v>
      </c>
      <c r="FO2" s="149" t="s">
        <v>1346</v>
      </c>
      <c r="FP2" s="147" t="s">
        <v>1347</v>
      </c>
      <c r="FQ2" s="147" t="s">
        <v>1348</v>
      </c>
      <c r="FR2" s="147" t="s">
        <v>1349</v>
      </c>
      <c r="FS2" s="147" t="s">
        <v>1350</v>
      </c>
      <c r="FT2" s="147" t="s">
        <v>1351</v>
      </c>
      <c r="FU2" s="147" t="s">
        <v>1352</v>
      </c>
      <c r="FV2" s="147" t="s">
        <v>1353</v>
      </c>
      <c r="FW2" s="147" t="s">
        <v>1354</v>
      </c>
      <c r="FX2" s="147" t="s">
        <v>1355</v>
      </c>
      <c r="FY2" s="147" t="s">
        <v>1356</v>
      </c>
      <c r="FZ2" s="148" t="s">
        <v>1357</v>
      </c>
      <c r="GA2" s="149" t="s">
        <v>287</v>
      </c>
      <c r="GB2" s="147" t="s">
        <v>288</v>
      </c>
      <c r="GC2" s="147" t="s">
        <v>289</v>
      </c>
      <c r="GD2" s="147" t="s">
        <v>290</v>
      </c>
      <c r="GE2" s="147" t="s">
        <v>291</v>
      </c>
      <c r="GF2" s="147" t="s">
        <v>292</v>
      </c>
      <c r="GG2" s="147" t="s">
        <v>293</v>
      </c>
      <c r="GH2" s="147" t="s">
        <v>294</v>
      </c>
      <c r="GI2" s="147" t="s">
        <v>295</v>
      </c>
      <c r="GJ2" s="147" t="s">
        <v>296</v>
      </c>
      <c r="GK2" s="147" t="s">
        <v>297</v>
      </c>
      <c r="GL2" s="147" t="s">
        <v>298</v>
      </c>
      <c r="GM2" s="248" t="s">
        <v>299</v>
      </c>
      <c r="GN2" s="249" t="s">
        <v>300</v>
      </c>
      <c r="GO2" s="249" t="s">
        <v>1358</v>
      </c>
      <c r="GP2" s="249" t="s">
        <v>1359</v>
      </c>
      <c r="GQ2" s="249" t="s">
        <v>1360</v>
      </c>
      <c r="GR2" s="249" t="s">
        <v>1361</v>
      </c>
      <c r="GS2" s="249" t="s">
        <v>1362</v>
      </c>
      <c r="GT2" s="249" t="s">
        <v>1363</v>
      </c>
      <c r="GU2" s="541" t="s">
        <v>563</v>
      </c>
      <c r="GV2" s="542"/>
      <c r="GW2" s="542"/>
      <c r="GX2" s="542"/>
      <c r="GY2" s="542" t="s">
        <v>789</v>
      </c>
      <c r="GZ2" s="617"/>
      <c r="HA2" s="36"/>
      <c r="HB2" s="36"/>
      <c r="HC2" s="36"/>
      <c r="HD2" s="36"/>
    </row>
    <row r="3" spans="1:212" ht="80.45" customHeight="1">
      <c r="A3" s="212" t="s">
        <v>314</v>
      </c>
      <c r="B3" s="188" t="s">
        <v>315</v>
      </c>
      <c r="C3" s="151" t="s">
        <v>316</v>
      </c>
      <c r="D3" s="255" t="s">
        <v>1284</v>
      </c>
      <c r="E3" s="255" t="s">
        <v>1364</v>
      </c>
      <c r="F3" s="255" t="s">
        <v>1365</v>
      </c>
      <c r="G3" s="255" t="s">
        <v>1366</v>
      </c>
      <c r="H3" s="255" t="s">
        <v>1367</v>
      </c>
      <c r="I3" s="150" t="s">
        <v>116</v>
      </c>
      <c r="J3" s="272" t="s">
        <v>117</v>
      </c>
      <c r="K3" s="272" t="s">
        <v>892</v>
      </c>
      <c r="L3" s="543" t="s">
        <v>118</v>
      </c>
      <c r="M3" s="212" t="s">
        <v>581</v>
      </c>
      <c r="N3" s="188" t="s">
        <v>474</v>
      </c>
      <c r="O3" s="188" t="s">
        <v>35</v>
      </c>
      <c r="P3" s="188" t="s">
        <v>41</v>
      </c>
      <c r="Q3" s="188" t="s">
        <v>43</v>
      </c>
      <c r="R3" s="188" t="s">
        <v>37</v>
      </c>
      <c r="S3" s="188" t="s">
        <v>1293</v>
      </c>
      <c r="T3" s="188" t="s">
        <v>47</v>
      </c>
      <c r="U3" s="188" t="s">
        <v>50</v>
      </c>
      <c r="V3" s="188" t="s">
        <v>864</v>
      </c>
      <c r="W3" s="189" t="s">
        <v>53</v>
      </c>
      <c r="X3" s="558" t="s">
        <v>582</v>
      </c>
      <c r="Y3" s="558" t="s">
        <v>480</v>
      </c>
      <c r="Z3" s="558" t="s">
        <v>55</v>
      </c>
      <c r="AA3" s="558" t="s">
        <v>57</v>
      </c>
      <c r="AB3" s="215" t="s">
        <v>321</v>
      </c>
      <c r="AC3" s="255" t="s">
        <v>322</v>
      </c>
      <c r="AD3" s="255" t="s">
        <v>851</v>
      </c>
      <c r="AE3" s="255" t="s">
        <v>323</v>
      </c>
      <c r="AF3" s="255" t="s">
        <v>324</v>
      </c>
      <c r="AG3" s="151" t="s">
        <v>795</v>
      </c>
      <c r="AH3" s="152" t="s">
        <v>326</v>
      </c>
      <c r="AI3" s="544" t="s">
        <v>327</v>
      </c>
      <c r="AJ3" s="544" t="s">
        <v>328</v>
      </c>
      <c r="AK3" s="544" t="s">
        <v>124</v>
      </c>
      <c r="AL3" s="544" t="s">
        <v>125</v>
      </c>
      <c r="AM3" s="544" t="s">
        <v>1368</v>
      </c>
      <c r="AN3" s="560" t="s">
        <v>1369</v>
      </c>
      <c r="AO3" s="571" t="s">
        <v>1370</v>
      </c>
      <c r="AP3" s="572" t="s">
        <v>1371</v>
      </c>
      <c r="AQ3" s="572" t="s">
        <v>1372</v>
      </c>
      <c r="AR3" s="573" t="s">
        <v>1373</v>
      </c>
      <c r="AS3" s="548" t="s">
        <v>335</v>
      </c>
      <c r="AT3" s="548" t="s">
        <v>1374</v>
      </c>
      <c r="AU3" s="548" t="s">
        <v>336</v>
      </c>
      <c r="AV3" s="548" t="s">
        <v>799</v>
      </c>
      <c r="AW3" s="548" t="s">
        <v>1375</v>
      </c>
      <c r="AX3" s="548" t="s">
        <v>338</v>
      </c>
      <c r="AY3" s="548" t="s">
        <v>583</v>
      </c>
      <c r="AZ3" s="549" t="s">
        <v>340</v>
      </c>
      <c r="BA3" s="548" t="s">
        <v>341</v>
      </c>
      <c r="BB3" s="548" t="s">
        <v>976</v>
      </c>
      <c r="BC3" s="548" t="s">
        <v>342</v>
      </c>
      <c r="BD3" s="548" t="s">
        <v>343</v>
      </c>
      <c r="BE3" s="548" t="s">
        <v>344</v>
      </c>
      <c r="BF3" s="548" t="s">
        <v>977</v>
      </c>
      <c r="BG3" s="550" t="s">
        <v>345</v>
      </c>
      <c r="BH3" s="220" t="s">
        <v>615</v>
      </c>
      <c r="BI3" s="220" t="s">
        <v>1376</v>
      </c>
      <c r="BJ3" s="220" t="s">
        <v>1377</v>
      </c>
      <c r="BK3" s="220" t="s">
        <v>1378</v>
      </c>
      <c r="BL3" s="220" t="s">
        <v>1379</v>
      </c>
      <c r="BM3" s="220" t="s">
        <v>1380</v>
      </c>
      <c r="BN3" s="220" t="s">
        <v>1381</v>
      </c>
      <c r="BO3" s="220" t="s">
        <v>1382</v>
      </c>
      <c r="BP3" s="144" t="s">
        <v>1035</v>
      </c>
      <c r="BQ3" s="145" t="s">
        <v>1383</v>
      </c>
      <c r="BR3" s="145" t="s">
        <v>1384</v>
      </c>
      <c r="BS3" s="145" t="s">
        <v>1385</v>
      </c>
      <c r="BT3" s="145" t="s">
        <v>1386</v>
      </c>
      <c r="BU3" s="241" t="s">
        <v>616</v>
      </c>
      <c r="BV3" s="242" t="s">
        <v>372</v>
      </c>
      <c r="BW3" s="242" t="s">
        <v>1387</v>
      </c>
      <c r="BX3" s="242" t="s">
        <v>373</v>
      </c>
      <c r="BY3" s="242" t="s">
        <v>374</v>
      </c>
      <c r="BZ3" s="242" t="s">
        <v>375</v>
      </c>
      <c r="CA3" s="242" t="s">
        <v>376</v>
      </c>
      <c r="CB3" s="242" t="s">
        <v>997</v>
      </c>
      <c r="CC3" s="242" t="s">
        <v>377</v>
      </c>
      <c r="CD3" s="242" t="s">
        <v>378</v>
      </c>
      <c r="CE3" s="242" t="s">
        <v>379</v>
      </c>
      <c r="CF3" s="363" t="s">
        <v>619</v>
      </c>
      <c r="CG3" s="364" t="s">
        <v>620</v>
      </c>
      <c r="CH3" s="365" t="s">
        <v>1388</v>
      </c>
      <c r="CI3" s="616" t="s">
        <v>1389</v>
      </c>
      <c r="CJ3" s="616" t="s">
        <v>1390</v>
      </c>
      <c r="CK3" s="616" t="s">
        <v>1391</v>
      </c>
      <c r="CL3" s="616" t="s">
        <v>1392</v>
      </c>
      <c r="CM3" s="616" t="s">
        <v>1393</v>
      </c>
      <c r="CN3" s="616" t="s">
        <v>1394</v>
      </c>
      <c r="CO3" s="616" t="s">
        <v>1395</v>
      </c>
      <c r="CP3" s="616" t="s">
        <v>1396</v>
      </c>
      <c r="CQ3" s="616" t="s">
        <v>1397</v>
      </c>
      <c r="CR3" s="616" t="s">
        <v>1398</v>
      </c>
      <c r="CS3" s="616" t="s">
        <v>1399</v>
      </c>
      <c r="CT3" s="616" t="s">
        <v>1400</v>
      </c>
      <c r="CU3" s="367" t="s">
        <v>634</v>
      </c>
      <c r="CV3" s="366" t="s">
        <v>635</v>
      </c>
      <c r="CW3" s="366" t="s">
        <v>636</v>
      </c>
      <c r="CX3" s="366" t="s">
        <v>637</v>
      </c>
      <c r="CY3" s="366" t="s">
        <v>638</v>
      </c>
      <c r="CZ3" s="366" t="s">
        <v>639</v>
      </c>
      <c r="DA3" s="366" t="s">
        <v>640</v>
      </c>
      <c r="DB3" s="366" t="s">
        <v>641</v>
      </c>
      <c r="DC3" s="366" t="s">
        <v>642</v>
      </c>
      <c r="DD3" s="366" t="s">
        <v>643</v>
      </c>
      <c r="DE3" s="366" t="s">
        <v>644</v>
      </c>
      <c r="DF3" s="366" t="s">
        <v>645</v>
      </c>
      <c r="DG3" s="367" t="s">
        <v>203</v>
      </c>
      <c r="DH3" s="366" t="s">
        <v>204</v>
      </c>
      <c r="DI3" s="366" t="s">
        <v>205</v>
      </c>
      <c r="DJ3" s="366" t="s">
        <v>206</v>
      </c>
      <c r="DK3" s="366" t="s">
        <v>207</v>
      </c>
      <c r="DL3" s="366" t="s">
        <v>208</v>
      </c>
      <c r="DM3" s="366" t="s">
        <v>209</v>
      </c>
      <c r="DN3" s="366" t="s">
        <v>210</v>
      </c>
      <c r="DO3" s="366" t="s">
        <v>211</v>
      </c>
      <c r="DP3" s="366" t="s">
        <v>212</v>
      </c>
      <c r="DQ3" s="366" t="s">
        <v>213</v>
      </c>
      <c r="DR3" s="366" t="s">
        <v>214</v>
      </c>
      <c r="DS3" s="367" t="s">
        <v>418</v>
      </c>
      <c r="DT3" s="366" t="s">
        <v>419</v>
      </c>
      <c r="DU3" s="366" t="s">
        <v>420</v>
      </c>
      <c r="DV3" s="366" t="s">
        <v>421</v>
      </c>
      <c r="DW3" s="366" t="s">
        <v>422</v>
      </c>
      <c r="DX3" s="366" t="s">
        <v>423</v>
      </c>
      <c r="DY3" s="366" t="s">
        <v>424</v>
      </c>
      <c r="DZ3" s="366" t="s">
        <v>425</v>
      </c>
      <c r="EA3" s="366" t="s">
        <v>426</v>
      </c>
      <c r="EB3" s="366" t="s">
        <v>427</v>
      </c>
      <c r="EC3" s="366" t="s">
        <v>428</v>
      </c>
      <c r="ED3" s="366" t="s">
        <v>429</v>
      </c>
      <c r="EE3" s="367" t="s">
        <v>227</v>
      </c>
      <c r="EF3" s="366" t="s">
        <v>228</v>
      </c>
      <c r="EG3" s="366" t="s">
        <v>229</v>
      </c>
      <c r="EH3" s="366" t="s">
        <v>230</v>
      </c>
      <c r="EI3" s="366" t="s">
        <v>231</v>
      </c>
      <c r="EJ3" s="366" t="s">
        <v>232</v>
      </c>
      <c r="EK3" s="366" t="s">
        <v>233</v>
      </c>
      <c r="EL3" s="366" t="s">
        <v>234</v>
      </c>
      <c r="EM3" s="366" t="s">
        <v>235</v>
      </c>
      <c r="EN3" s="366" t="s">
        <v>236</v>
      </c>
      <c r="EO3" s="366" t="s">
        <v>237</v>
      </c>
      <c r="EP3" s="366" t="s">
        <v>238</v>
      </c>
      <c r="EQ3" s="367" t="s">
        <v>936</v>
      </c>
      <c r="ER3" s="366" t="s">
        <v>937</v>
      </c>
      <c r="ES3" s="366" t="s">
        <v>938</v>
      </c>
      <c r="ET3" s="366" t="s">
        <v>939</v>
      </c>
      <c r="EU3" s="366" t="s">
        <v>940</v>
      </c>
      <c r="EV3" s="366" t="s">
        <v>941</v>
      </c>
      <c r="EW3" s="366" t="s">
        <v>942</v>
      </c>
      <c r="EX3" s="366" t="s">
        <v>943</v>
      </c>
      <c r="EY3" s="366" t="s">
        <v>944</v>
      </c>
      <c r="EZ3" s="366" t="s">
        <v>945</v>
      </c>
      <c r="FA3" s="366" t="s">
        <v>946</v>
      </c>
      <c r="FB3" s="366" t="s">
        <v>947</v>
      </c>
      <c r="FC3" s="367" t="s">
        <v>239</v>
      </c>
      <c r="FD3" s="366" t="s">
        <v>240</v>
      </c>
      <c r="FE3" s="366" t="s">
        <v>241</v>
      </c>
      <c r="FF3" s="366" t="s">
        <v>242</v>
      </c>
      <c r="FG3" s="366" t="s">
        <v>243</v>
      </c>
      <c r="FH3" s="366" t="s">
        <v>244</v>
      </c>
      <c r="FI3" s="366" t="s">
        <v>245</v>
      </c>
      <c r="FJ3" s="366" t="s">
        <v>246</v>
      </c>
      <c r="FK3" s="366" t="s">
        <v>247</v>
      </c>
      <c r="FL3" s="366" t="s">
        <v>248</v>
      </c>
      <c r="FM3" s="366" t="s">
        <v>249</v>
      </c>
      <c r="FN3" s="366" t="s">
        <v>250</v>
      </c>
      <c r="FO3" s="551" t="s">
        <v>1401</v>
      </c>
      <c r="FP3" s="552" t="s">
        <v>1402</v>
      </c>
      <c r="FQ3" s="552" t="s">
        <v>1403</v>
      </c>
      <c r="FR3" s="552" t="s">
        <v>1404</v>
      </c>
      <c r="FS3" s="552" t="s">
        <v>1405</v>
      </c>
      <c r="FT3" s="552" t="s">
        <v>1406</v>
      </c>
      <c r="FU3" s="552" t="s">
        <v>1407</v>
      </c>
      <c r="FV3" s="552" t="s">
        <v>1408</v>
      </c>
      <c r="FW3" s="552" t="s">
        <v>1409</v>
      </c>
      <c r="FX3" s="552" t="s">
        <v>1410</v>
      </c>
      <c r="FY3" s="552" t="s">
        <v>1411</v>
      </c>
      <c r="FZ3" s="553" t="s">
        <v>1412</v>
      </c>
      <c r="GA3" s="551" t="s">
        <v>287</v>
      </c>
      <c r="GB3" s="552" t="s">
        <v>288</v>
      </c>
      <c r="GC3" s="552" t="s">
        <v>289</v>
      </c>
      <c r="GD3" s="552" t="s">
        <v>290</v>
      </c>
      <c r="GE3" s="552" t="s">
        <v>291</v>
      </c>
      <c r="GF3" s="552" t="s">
        <v>292</v>
      </c>
      <c r="GG3" s="552" t="s">
        <v>293</v>
      </c>
      <c r="GH3" s="552" t="s">
        <v>294</v>
      </c>
      <c r="GI3" s="552" t="s">
        <v>295</v>
      </c>
      <c r="GJ3" s="552" t="s">
        <v>296</v>
      </c>
      <c r="GK3" s="552" t="s">
        <v>297</v>
      </c>
      <c r="GL3" s="552" t="s">
        <v>298</v>
      </c>
      <c r="GM3" s="248" t="s">
        <v>430</v>
      </c>
      <c r="GN3" s="249" t="s">
        <v>431</v>
      </c>
      <c r="GO3" s="249" t="s">
        <v>432</v>
      </c>
      <c r="GP3" s="249" t="s">
        <v>433</v>
      </c>
      <c r="GQ3" s="249" t="s">
        <v>435</v>
      </c>
      <c r="GR3" s="249" t="s">
        <v>436</v>
      </c>
      <c r="GS3" s="249" t="s">
        <v>1069</v>
      </c>
      <c r="GT3" s="249" t="s">
        <v>1070</v>
      </c>
      <c r="GU3" s="293" t="s">
        <v>444</v>
      </c>
      <c r="GV3" s="294" t="s">
        <v>445</v>
      </c>
      <c r="GW3" s="294" t="s">
        <v>446</v>
      </c>
      <c r="GX3" s="294" t="s">
        <v>447</v>
      </c>
      <c r="GY3" s="294" t="s">
        <v>1071</v>
      </c>
      <c r="GZ3" s="295" t="s">
        <v>1072</v>
      </c>
      <c r="HA3" s="36"/>
      <c r="HB3" s="36"/>
      <c r="HC3" s="36"/>
      <c r="HD3" s="36"/>
    </row>
    <row r="4" spans="1:212" ht="16.5" customHeight="1">
      <c r="A4" s="484">
        <f>Hospital_Target_Energy</f>
        <v>0</v>
      </c>
      <c r="B4" s="484">
        <f>Hospital_Target_Water</f>
        <v>0</v>
      </c>
      <c r="C4" s="485">
        <f>Hospital_Postcode</f>
        <v>0</v>
      </c>
      <c r="D4" s="485" t="str">
        <f>Hospital_Peer_Group</f>
        <v>&lt;Select&gt;</v>
      </c>
      <c r="E4" s="486">
        <f>Hospital_OBD</f>
        <v>0</v>
      </c>
      <c r="F4" s="486">
        <f>Hospital_Seps</f>
        <v>0</v>
      </c>
      <c r="G4" s="486">
        <f>Hospital_CFACB</f>
        <v>0</v>
      </c>
      <c r="H4" s="486">
        <f>Hospital_CFACBDays</f>
        <v>0</v>
      </c>
      <c r="I4" s="487">
        <f>Hospital_Elec_Percent</f>
        <v>0</v>
      </c>
      <c r="J4" s="487">
        <f>Hospital_Gas_Percent</f>
        <v>0</v>
      </c>
      <c r="K4" s="487">
        <f>Hospital_LPG_Percent</f>
        <v>0</v>
      </c>
      <c r="L4" s="487">
        <f>Hospital_Diesel_Percent</f>
        <v>0</v>
      </c>
      <c r="M4" s="126">
        <f>tbl_Hospital_Multi[[#This Row],[Target Max Energy BF]]</f>
        <v>200</v>
      </c>
      <c r="N4" s="42" t="e">
        <f>IF(tbl_Hospital_Multi[[#This Row],[CCentering]]="NA","NA for "&amp;tbl_Hospital_Multi[[#This Row],[State]],tbl_Hospital_Multi[[#This Row],[Predicted Emissions]])</f>
        <v>#N/A</v>
      </c>
      <c r="O4" s="42" t="e">
        <f>IF(tbl_Hospital_Multi[[#This Row],[CCentering]]="NA","NA for "&amp;tbl_Hospital_Multi[[#This Row],[State]],tbl_Hospital_Multi[[#This Row],[Target Max CO2]])</f>
        <v>#N/A</v>
      </c>
      <c r="P4" s="378" t="e">
        <f>IF(tbl_Hospital_Multi[[#This Row],[CCentering]]="NA","NA for "&amp;tbl_Hospital_Multi[[#This Row],[State]],tbl_Hospital_Multi[[#This Row],[Target Max CO2 Intensity]])</f>
        <v>#N/A</v>
      </c>
      <c r="Q4" s="378" t="e">
        <f>IF(tbl_Hospital_Multi[[#This Row],[CCentering]]="NA","NA for "&amp;tbl_Hospital_Multi[[#This Row],[State]],tbl_Hospital_Multi[[#This Row],[Target Max Energy Intensity]])</f>
        <v>#N/A</v>
      </c>
      <c r="R4" s="42" t="e">
        <f>IF(tbl_Hospital_Multi[[#This Row],[CCentering]]="NA","NA for "&amp;tbl_Hospital_Multi[[#This Row],[State]],tbl_Hospital_Multi[[#This Row],[Target Scopes 1,2&amp;3]])</f>
        <v>#N/A</v>
      </c>
      <c r="S4" s="42" t="e">
        <f>IF(tbl_Hospital_Multi[[#This Row],[CCentering]]="NA","NA for "&amp;tbl_Hospital_Multi[[#This Row],[State]],tbl_Hospital_Multi[[#This Row],[Target Scopes 1&amp;2]])</f>
        <v>#N/A</v>
      </c>
      <c r="T4" s="42" t="e">
        <f>IF(tbl_Hospital_Multi[[#This Row],[CCentering]]="NA","NA for "&amp;tbl_Hospital_Multi[[#This Row],[State]],tbl_Hospital_Multi[[#This Row],[Target Max Elec (kWh)]])</f>
        <v>#N/A</v>
      </c>
      <c r="U4" s="42" t="e">
        <f>IF(tbl_Hospital_Multi[[#This Row],[CCentering]]="NA","NA for "&amp;tbl_Hospital_Multi[[#This Row],[State]],tbl_Hospital_Multi[[#This Row],[Target Max Gas (MJ)]])</f>
        <v>#N/A</v>
      </c>
      <c r="V4" s="42" t="e">
        <f>IF(tbl_Hospital_Multi[[#This Row],[CCentering]]="NA","NA for "&amp;tbl_Hospital_Multi[[#This Row],[State]],tbl_Hospital_Multi[[#This Row],[Target Max LPG (L)]])</f>
        <v>#N/A</v>
      </c>
      <c r="W4" s="42" t="e">
        <f>IF(tbl_Hospital_Multi[[#This Row],[CCentering]]="NA","NA for "&amp;tbl_Hospital_Multi[[#This Row],[State]],tbl_Hospital_Multi[[#This Row],[Target Max Diesel (L)]])</f>
        <v>#N/A</v>
      </c>
      <c r="X4" s="126">
        <f>tbl_Hospital_Multi[[#This Row],[Target Max Water BF]]</f>
        <v>185.5</v>
      </c>
      <c r="Y4" s="42" t="e">
        <f>IF(tbl_Hospital_Multi[[#This Row],[CCentering]]="NA","NA for "&amp;tbl_Hospital_Multi[[#This Row],[State]],tbl_Hospital_Multi[[#This Row],[Predicted Water Consumption]])</f>
        <v>#N/A</v>
      </c>
      <c r="Z4" s="42" t="e">
        <f>IF(tbl_Hospital_Multi[[#This Row],[CCentering]]="NA","NA for "&amp;tbl_Hospital_Multi[[#This Row],[State]],tbl_Hospital_Multi[[#This Row],[Target Max Water (kL)]])</f>
        <v>#N/A</v>
      </c>
      <c r="AA4" s="126" t="e">
        <f>IF(tbl_Hospital_Multi[[#This Row],[CCentering]]="NA","NA for "&amp;tbl_Hospital_Multi[[#This Row],[State]],tbl_Hospital_Multi[[#This Row],[Target Max Water Inensity]])</f>
        <v>#N/A</v>
      </c>
      <c r="AB4" s="285">
        <f>Hospital_Elec_FWD</f>
        <v>0</v>
      </c>
      <c r="AC4" s="285">
        <f>Hospital_Gas_FWD</f>
        <v>0</v>
      </c>
      <c r="AD4" s="285">
        <f>Hospital_LPG_FWD</f>
        <v>0</v>
      </c>
      <c r="AE4" s="285">
        <f>Hospital_Diesel_FWD</f>
        <v>0</v>
      </c>
      <c r="AF4" s="43">
        <f>Hospital_GreenPower_Percent_FWD</f>
        <v>0</v>
      </c>
      <c r="AG4" s="285">
        <f>Hospital_Water_FWD</f>
        <v>0</v>
      </c>
      <c r="AH4" s="43">
        <f>Hospital_RW_Percent_FWD</f>
        <v>0</v>
      </c>
      <c r="AI4" s="45" t="e">
        <f>INDEX(tbl_Climate_Lookup[],MATCH(tbl_Hospital_Multi[[Postcode]:[Postcode]],tbl_Climate_Lookup[[Postcode]:[Postcode]],0),MATCH(tbl_Hospital_Multi[[#Headers],[State]],tbl_Climate_Lookup[#Headers],0))</f>
        <v>#N/A</v>
      </c>
      <c r="AJ4" s="45" t="e">
        <f>INDEX(tbl_Climate_Lookup[],MATCH(tbl_Hospital_Multi[[Postcode]:[Postcode]],tbl_Climate_Lookup[[Postcode]:[Postcode]],0),MATCH(tbl_Hospital_Multi[[#Headers],[Climate zone]],tbl_Climate_Lookup[#Headers],0))</f>
        <v>#N/A</v>
      </c>
      <c r="AK4" s="169" t="e">
        <f>INDEX(tbl_Climate_Lookup[],MATCH(tbl_Hospital_Multi[[Postcode]:[Postcode]],tbl_Climate_Lookup[[Postcode]:[Postcode]],0),MATCH(tbl_Hospital_Multi[[#Headers],[HDD]],tbl_Climate_Lookup[#Headers],0))</f>
        <v>#N/A</v>
      </c>
      <c r="AL4" s="169" t="e">
        <f>INDEX(tbl_Climate_Lookup[],MATCH(tbl_Hospital_Multi[[Postcode]:[Postcode]],tbl_Climate_Lookup[[Postcode]:[Postcode]],0),MATCH(tbl_Hospital_Multi[[#Headers],[CDD]],tbl_Climate_Lookup[#Headers],0))</f>
        <v>#N/A</v>
      </c>
      <c r="AM4" s="169">
        <f>IF(tbl_Hospital_Multi[[#This Row],[CFACBDays]]&gt;0,tbl_Hospital_Multi[[#This Row],[OBD]]+tbl_Hospital_Multi[[#This Row],[CFACBDays]],tbl_Hospital_Multi[[#This Row],[OBD]]+300*tbl_Hospital_Multi[[#This Row],[CFACB]])</f>
        <v>0</v>
      </c>
      <c r="AN4" s="169">
        <f>IF(tbl_Hospital_Multi[[#This Row],[Total OBD]]&lt;=20000,1,IF(tbl_Hospital_Multi[[#This Row],[Total OBD]]&gt;150000,3,2))</f>
        <v>1</v>
      </c>
      <c r="AO4" s="45" t="e">
        <f>INDEX(tbl_SGE_Hospital[],MATCH(tbl_Hospital_Multi[[State]:[State]],tbl_SGE_Hospital[[State]:[State]],0),MATCH(tbl_Hospital_Multi[[#Headers],[SGEe2022]],tbl_SGE_Hospital[#Headers],0))</f>
        <v>#N/A</v>
      </c>
      <c r="AP4" s="45" t="e">
        <f>INDEX(tbl_SGE_Hospital[],MATCH(tbl_Hospital_Multi[[State]:[State]],tbl_SGE_Hospital[[State]:[State]],0),MATCH(tbl_Hospital_Multi[[#Headers],[SGEg2022]],tbl_SGE_Hospital[#Headers],0))</f>
        <v>#N/A</v>
      </c>
      <c r="AQ4" s="45" t="e">
        <f>INDEX(tbl_SGE_Hospital[],MATCH(tbl_Hospital_Multi[[State]:[State]],tbl_SGE_Hospital[[State]:[State]],0),MATCH(tbl_Hospital_Multi[[#Headers],[SGEL2022]],tbl_SGE_Hospital[#Headers],0))</f>
        <v>#N/A</v>
      </c>
      <c r="AR4" s="45" t="e">
        <f>INDEX(tbl_SGE_Hospital[],MATCH(tbl_Hospital_Multi[[State]:[State]],tbl_SGE_Hospital[[State]:[State]],0),MATCH(tbl_Hospital_Multi[[#Headers],[SGEd2022]],tbl_SGE_Hospital[#Headers],0))</f>
        <v>#N/A</v>
      </c>
      <c r="AS4" s="45">
        <f>INDEX(tbl_Conversion_Factors[[Conversion Factors]:[Conversion Factors]],MATCH(tbl_Hospital_Multi[[#Headers],[CFelec]],tbl_Conversion_Factors[[Reference]:[Reference]],0))</f>
        <v>3.6</v>
      </c>
      <c r="AT4" s="45">
        <f>INDEX(tbl_Conversion_Factors[[Conversion Factors]:[Conversion Factors]],MATCH(tbl_Hospital_Multi[[#Headers],[CFLPG]],tbl_Conversion_Factors[[Reference]:[Reference]],0))</f>
        <v>25.7</v>
      </c>
      <c r="AU4" s="45">
        <f>INDEX(tbl_Conversion_Factors[[Conversion Factors]:[Conversion Factors]],MATCH(tbl_Hospital_Multi[[#Headers],[CFdiesel]],tbl_Conversion_Factors[[Reference]:[Reference]],0))</f>
        <v>38.6</v>
      </c>
      <c r="AV4" s="45" t="e">
        <f>tbl_Hospital_Multi[[#This Row],[SGEe2022]]/tbl_Hospital_Multi[[#This Row],[CFelec]]</f>
        <v>#N/A</v>
      </c>
      <c r="AW4" s="45" t="e">
        <f>tbl_Hospital_Multi[[#This Row],[SGEL2022]]/tbl_Hospital_Multi[[#This Row],[CFLPG]]</f>
        <v>#N/A</v>
      </c>
      <c r="AX4" s="45" t="e">
        <f>tbl_Hospital_Multi[[#This Row],[SGEd2022]]/tbl_Hospital_Multi[[#This Row],[CFdiesel]]</f>
        <v>#N/A</v>
      </c>
      <c r="AY4" s="46">
        <f>IF(SUM(tbl_Hospital_Multi[[#This Row],[Electricity (%)]:[Diesel (%)]])=1,
SUM(tbl_Hospital_Multi[[#This Row],[Electricity (%)]]*tbl_Hospital_Multi[[#This Row],[SGEeMJ]],
tbl_Hospital_Multi[[#This Row],[Gas (%)]]*tbl_Hospital_Multi[[#This Row],[SGEg2022]],
tbl_Hospital_Multi[[#This Row],[LPG (%)]]*tbl_Hospital_Multi[[#This Row],[SGELMJ]],
tbl_Hospital_Multi[[#This Row],[Diesel (%)]]*tbl_Hospital_Multi[[#This Row],[SGEdMJ]]),0)</f>
        <v>0</v>
      </c>
      <c r="AZ4" s="46" t="e">
        <f>INDEX(tbl_NGA_Factors_2022[],MATCH(tbl_Hospital_Multi[[State]:[State]],tbl_NGA_Factors_2022[[State]:[State]],0),MATCH(tbl_Hospital_Multi[[#Headers],[SGEe Scopes 1,2&amp;3]],tbl_NGA_Factors_2022[#Headers],0))</f>
        <v>#N/A</v>
      </c>
      <c r="BA4" s="46" t="e">
        <f>INDEX(tbl_NGA_Factors_2022[],MATCH(tbl_Hospital_Multi[[State]:[State]],tbl_NGA_Factors_2022[[State]:[State]],0),MATCH(tbl_Hospital_Multi[[#Headers],[SGEg Scopes 1,2&amp;3]],tbl_NGA_Factors_2022[#Headers],0))</f>
        <v>#N/A</v>
      </c>
      <c r="BB4" s="46" t="e">
        <f>INDEX(tbl_NGA_Factors_2022[],MATCH(tbl_Hospital_Multi[[State]:[State]],tbl_NGA_Factors_2022[[State]:[State]],0),MATCH(tbl_Hospital_Multi[[#Headers],[SGEl Scopes 1,2&amp;3]],tbl_NGA_Factors_2022[#Headers],0))</f>
        <v>#N/A</v>
      </c>
      <c r="BC4" s="46" t="e">
        <f>INDEX(tbl_NGA_Factors_2022[],MATCH(tbl_Hospital_Multi[[State]:[State]],tbl_NGA_Factors_2022[[State]:[State]],0),MATCH(tbl_Hospital_Multi[[#Headers],[SGEd Scopes 1,2&amp;3]],tbl_NGA_Factors_2022[#Headers],0))</f>
        <v>#N/A</v>
      </c>
      <c r="BD4" s="46" t="e">
        <f>INDEX(tbl_NGA_Factors_2022[],MATCH(tbl_Hospital_Multi[[State]:[State]],tbl_NGA_Factors_2022[[State]:[State]],0),MATCH(tbl_Hospital_Multi[[#Headers],[SGEe Scopes 1&amp;2]],tbl_NGA_Factors_2022[#Headers],0))</f>
        <v>#N/A</v>
      </c>
      <c r="BE4" s="46" t="e">
        <f>INDEX(tbl_NGA_Factors_2022[],MATCH(tbl_Hospital_Multi[[State]:[State]],tbl_NGA_Factors_2022[[State]:[State]],0),MATCH(tbl_Hospital_Multi[[#Headers],[SGEg Scopes 1&amp;2]],tbl_NGA_Factors_2022[#Headers],0))</f>
        <v>#N/A</v>
      </c>
      <c r="BF4" s="46" t="e">
        <f>INDEX(tbl_NGA_Factors_2022[],MATCH(tbl_Hospital_Multi[[State]:[State]],tbl_NGA_Factors_2022[[State]:[State]],0),MATCH(tbl_Hospital_Multi[[#Headers],[SGEl Scopes 1&amp;2]],tbl_NGA_Factors_2022[#Headers],0))</f>
        <v>#N/A</v>
      </c>
      <c r="BG4" s="46" t="e">
        <f>INDEX(tbl_NGA_Factors_2022[],MATCH(tbl_Hospital_Multi[[State]:[State]],tbl_NGA_Factors_2022[[State]:[State]],0),MATCH(tbl_Hospital_Multi[[#Headers],[SGEd Scopes 1&amp;2]],tbl_NGA_Factors_2022[#Headers],0))</f>
        <v>#N/A</v>
      </c>
      <c r="BH4" s="169" t="e">
        <f>tbl_Hospital_Multi[[#This Row],[EmissionTL]]*tbl_Hospital_Multi[[#This Row],[Energy Cseps]]*tbl_Hospital_Multi[[#This Row],[Energy CCDD]]*tbl_Hospital_Multi[[#This Row],[Energy Cpeer]]*tbl_Hospital_Multi[[#This Row],[CState]]*tbl_Hospital_Multi[[#This Row],[CCentering]]</f>
        <v>#DIV/0!</v>
      </c>
      <c r="BI4" s="169">
        <f>tbl_Hospital_Multi[[#This Row],[Total OBD]]*INDEX(tbl_Hospital_E_TL[a],tbl_Hospital_Multi[[#This Row],[Group]])+INDEX(tbl_Hospital_E_TL[b (intercept)],tbl_Hospital_Multi[[#This Row],[Group]])</f>
        <v>131509</v>
      </c>
      <c r="BJ4" s="574" t="e">
        <f>Hospital_C_E_Seps_a*tbl_Hospital_Multi[[#This Row],[Seps]]/tbl_Hospital_Multi[[#This Row],[Total OBD]]+Hospital_C_E_Seps_b</f>
        <v>#DIV/0!</v>
      </c>
      <c r="BK4" s="45" t="e">
        <f>Hospital_C_E_CDD_a*tbl_Hospital_Multi[[#This Row],[CDD]]+Hospital_C_E_CDD_b</f>
        <v>#N/A</v>
      </c>
      <c r="BL4" s="45">
        <f>IF(ISNA(MATCH(tbl_Hospital_Multi[[#This Row],[Peer Group]],tbl_Hospital_CPeer_Energy_Corrections[Minor Hospital Correction Energy],0)),1,INDEX(tbl_Hospital_CPeer_Energy_Corrections[Correction],MATCH(tbl_Hospital_Multi[[#This Row],[Peer Group]],tbl_Hospital_CPeer_Energy_Corrections[Minor Hospital Correction Energy],0)))</f>
        <v>1</v>
      </c>
      <c r="BM4" s="45" t="e">
        <f>INDEX(tbl_Hospital_CNational_Lists[],MATCH(tbl_Hospital_Multi[[State]:[State]],tbl_Hospital_CNational_Lists[[State]:[State]],0),MATCH(tbl_Hospital_Multi[[#Headers],[CNational_2016]],tbl_Hospital_CNational_Lists[#Headers],0))</f>
        <v>#N/A</v>
      </c>
      <c r="BN4" s="45" t="e">
        <f>INDEX(tbl_Hospital_CNational_Lists[],MATCH(tbl_Hospital_Multi[[State]:[State]],tbl_Hospital_CNational_Lists[[State]:[State]],0),MATCH(tbl_Hospital_Multi[[#Headers],[CState]],tbl_Hospital_CNational_Lists[#Headers],0))</f>
        <v>#N/A</v>
      </c>
      <c r="BO4" s="45" t="e">
        <f>INDEX(tbl_Hospital_CNational_Lists[],MATCH(tbl_Hospital_Multi[[State]:[State]],tbl_Hospital_CNational_Lists[[State]:[State]],0),MATCH(tbl_Hospital_Multi[[#Headers],[CCentering]],tbl_Hospital_CNational_Lists[#Headers],0))</f>
        <v>#N/A</v>
      </c>
      <c r="BP4" s="47" t="e">
        <f>tbl_Hospital_Multi[[#This Row],[Water ConsumptionTL]]*tbl_Hospital_Multi[[#This Row],[Water Cseps]]*tbl_Hospital_Multi[[#This Row],[Water CCDD]]*tbl_Hospital_Multi[[#This Row],[Water Cpeer]]</f>
        <v>#DIV/0!</v>
      </c>
      <c r="BQ4" s="36">
        <f>tbl_Hospital_Multi[[#This Row],[Total OBD]]*INDEX(tbl_Hospital_W_TL[a],tbl_Hospital_Multi[[#This Row],[Group]])+INDEX(tbl_Hospital_W_TL[b (intercept)],tbl_Hospital_Multi[[#This Row],[Group]])</f>
        <v>2416</v>
      </c>
      <c r="BR4" s="38" t="e">
        <f>Hospital_C_W_Seps_a*tbl_Hospital_Multi[[#This Row],[Seps]]/tbl_Hospital_Multi[[#This Row],[Total OBD]]+Hospital_C_W_Seps_b</f>
        <v>#DIV/0!</v>
      </c>
      <c r="BS4" s="36" t="e">
        <f>Hospital_C_W_CDD_a*tbl_Hospital_Multi[[#This Row],[CDD]]+Hospital_C_W_CDD_b</f>
        <v>#N/A</v>
      </c>
      <c r="BT4" s="36">
        <f>IF(ISNA(MATCH(tbl_Hospital_Multi[[#This Row],[Peer Group]],tbl_Hospital_CPeer_Water_Corrections[Minor Hospital Correction Water],0)),1,INDEX(tbl_Hospital_CPeer_Water_Corrections[Correction],MATCH(tbl_Hospital_Multi[[#This Row],[Peer Group]],tbl_Hospital_CPeer_Water_Corrections[Minor Hospital Correction Water],0)))</f>
        <v>1</v>
      </c>
      <c r="BU4" s="296">
        <f>(tbl_Hospital_Multi[[#This Row],[Target Energy]]-7)/-3.5*100</f>
        <v>200</v>
      </c>
      <c r="BV4" s="44" t="e">
        <f>tbl_Hospital_Multi[[#This Row],[Predicted Emissions]]/100*(tbl_Hospital_Multi[[#This Row],[Target Max Energy BF]])</f>
        <v>#DIV/0!</v>
      </c>
      <c r="BW4" s="47" t="e">
        <f>tbl_Hospital_Multi[[#This Row],[Target Max CO2]]/tbl_Hospital_Multi[[#This Row],[Total OBD]]</f>
        <v>#DIV/0!</v>
      </c>
      <c r="BX4" s="44" t="e">
        <f>tbl_Hospital_Multi[[#This Row],[Target Max CO2]]/tbl_Hospital_Multi[[#This Row],[EffGHG]]</f>
        <v>#DIV/0!</v>
      </c>
      <c r="BY4" s="44" t="e">
        <f>tbl_Hospital_Multi[[#This Row],[Target Max Energy (MJ)]]/tbl_Hospital_Multi[[#This Row],[Total OBD]]</f>
        <v>#DIV/0!</v>
      </c>
      <c r="BZ4" s="44" t="e">
        <f>ROUNDDOWN(tbl_Hospital_Multi[[#This Row],[Target Max Energy (MJ)]]*tbl_Hospital_Multi[[#This Row],[Electricity (%)]]/tbl_Hospital_Multi[[#This Row],[CFelec]],0)</f>
        <v>#DIV/0!</v>
      </c>
      <c r="CA4" s="44" t="e">
        <f>ROUNDDOWN(tbl_Hospital_Multi[[#This Row],[Target Max Energy (MJ)]]*tbl_Hospital_Multi[[#This Row],[Gas (%)]],0)</f>
        <v>#DIV/0!</v>
      </c>
      <c r="CB4" s="44" t="e">
        <f>ROUNDDOWN(tbl_Hospital_Multi[[#This Row],[Target Max Energy (MJ)]]*tbl_Hospital_Multi[[#This Row],[LPG (%)]]/tbl_Hospital_Multi[[#This Row],[CFLPG]],0)</f>
        <v>#DIV/0!</v>
      </c>
      <c r="CC4" s="44" t="e">
        <f>ROUNDDOWN(tbl_Hospital_Multi[[#This Row],[Target Max Energy (MJ)]]*tbl_Hospital_Multi[[#This Row],[Diesel (%)]]/tbl_Hospital_Multi[[#This Row],[CFdiesel]],0)</f>
        <v>#DIV/0!</v>
      </c>
      <c r="CD4" s="44" t="e">
        <f>SUM(tbl_Hospital_Multi[[#This Row],[Target Max Elec (kWh)]]*tbl_Hospital_Multi[[#This Row],[SGEe Scopes 1,2&amp;3]],
tbl_Hospital_Multi[[#This Row],[Target Max Gas (MJ)]]*tbl_Hospital_Multi[[#This Row],[SGEg Scopes 1,2&amp;3]],
tbl_Hospital_Multi[[#This Row],[Target Max Diesel (L)]]*tbl_Hospital_Multi[[#This Row],[SGEd Scopes 1,2&amp;3]],
tbl_Hospital_Multi[[#This Row],[Target Max LPG (L)]]*tbl_Hospital_Multi[[#This Row],[SGEl Scopes 1,2&amp;3]])</f>
        <v>#DIV/0!</v>
      </c>
      <c r="CE4" s="44" t="e">
        <f>SUM(tbl_Hospital_Multi[[#This Row],[Target Max Elec (kWh)]]*tbl_Hospital_Multi[[#This Row],[SGEe Scopes 1&amp;2]],
tbl_Hospital_Multi[[#This Row],[Target Max Gas (MJ)]]*tbl_Hospital_Multi[[#This Row],[SGEg Scopes 1&amp;2]],
tbl_Hospital_Multi[[#This Row],[Target Max Diesel (L)]]*tbl_Hospital_Multi[[#This Row],[SGEd Scopes 1&amp;2]],
tbl_Hospital_Multi[[#This Row],[Target Max LPG (L)]]*tbl_Hospital_Multi[[#This Row],[SGEl Scopes 1&amp;2]])</f>
        <v>#DIV/0!</v>
      </c>
      <c r="CF4" s="296">
        <f>(tbl_Hospital_Multi[[#This Row],[Target Water]]-7)/(-6/159)</f>
        <v>185.5</v>
      </c>
      <c r="CG4" s="44" t="e">
        <f>ROUNDDOWN(tbl_Hospital_Multi[[#This Row],[Target Max Water BF]]/100*tbl_Hospital_Multi[[Predicted Water Consumption]:[Predicted Water Consumption]],0)</f>
        <v>#DIV/0!</v>
      </c>
      <c r="CH4" s="296" t="e">
        <f>tbl_Hospital_Multi[[#This Row],[Target Max Water (kL)]]/tbl_Hospital_Multi[[#This Row],[Total OBD]]</f>
        <v>#DIV/0!</v>
      </c>
      <c r="CI4" s="578">
        <f>(LEFT(tbl_Hospital_Multi[[#Headers],[6.0* Max BF Energy]],3)-7)/-3.5*100</f>
        <v>28.571428571428569</v>
      </c>
      <c r="CJ4" s="578">
        <f>(LEFT(tbl_Hospital_Multi[[#Headers],[5.5* Max BF Energy]],3)-7)/-3.5*100</f>
        <v>42.857142857142854</v>
      </c>
      <c r="CK4" s="578">
        <f>(LEFT(tbl_Hospital_Multi[[#Headers],[5.0* Max BF Energy]],3)-7)/-3.5*100</f>
        <v>57.142857142857139</v>
      </c>
      <c r="CL4" s="578">
        <f>(LEFT(tbl_Hospital_Multi[[#Headers],[4.5* Max BF Energy]],3)-7)/-3.5*100</f>
        <v>71.428571428571431</v>
      </c>
      <c r="CM4" s="578">
        <f>(LEFT(tbl_Hospital_Multi[[#Headers],[4.0* Max BF Energy]],3)-7)/-3.5*100</f>
        <v>85.714285714285708</v>
      </c>
      <c r="CN4" s="578">
        <f>(LEFT(tbl_Hospital_Multi[[#Headers],[3.5* Max BF Energy]],3)-7)/-3.5*100</f>
        <v>100</v>
      </c>
      <c r="CO4" s="578">
        <f>(LEFT(tbl_Hospital_Multi[[#Headers],[3.0* Max BF Energy]],3)-7)/-3.5*100</f>
        <v>114.28571428571428</v>
      </c>
      <c r="CP4" s="578">
        <f>(LEFT(tbl_Hospital_Multi[[#Headers],[2.5* Max BF Energy]],3)-7)/-3.5*100</f>
        <v>128.57142857142858</v>
      </c>
      <c r="CQ4" s="578">
        <f>(LEFT(tbl_Hospital_Multi[[#Headers],[2.0* Max BF Energy]],3)-7)/-3.5*100</f>
        <v>142.85714285714286</v>
      </c>
      <c r="CR4" s="578">
        <f>(LEFT(tbl_Hospital_Multi[[#Headers],[1.5* Max BF Energy]],3)-7)/-3.5*100</f>
        <v>157.14285714285714</v>
      </c>
      <c r="CS4" s="578">
        <f>(LEFT(tbl_Hospital_Multi[[#Headers],[1.0* Max BF Energy]],3)-7)/-3.5*100</f>
        <v>171.42857142857142</v>
      </c>
      <c r="CT4" s="578">
        <f>(LEFT(tbl_Hospital_Multi[[#Headers],[0.0* Max BF Energy]],3)-7)/-3.5*100</f>
        <v>200</v>
      </c>
      <c r="CU4" s="44" t="e">
        <f>tbl_Hospital_Multi[[Predicted Emissions]:[Predicted Emissions]]*(tbl_Hospital_Multi[[#This Row],[6.0* Max BF Energy]])/100</f>
        <v>#DIV/0!</v>
      </c>
      <c r="CV4" s="44" t="e">
        <f>tbl_Hospital_Multi[[Predicted Emissions]:[Predicted Emissions]]*(tbl_Hospital_Multi[[#This Row],[5.5* Max BF Energy]])/100</f>
        <v>#DIV/0!</v>
      </c>
      <c r="CW4" s="44" t="e">
        <f>tbl_Hospital_Multi[[Predicted Emissions]:[Predicted Emissions]]*(tbl_Hospital_Multi[[#This Row],[5.0* Max BF Energy]])/100</f>
        <v>#DIV/0!</v>
      </c>
      <c r="CX4" s="44" t="e">
        <f>tbl_Hospital_Multi[[Predicted Emissions]:[Predicted Emissions]]*(tbl_Hospital_Multi[[#This Row],[4.5* Max BF Energy]])/100</f>
        <v>#DIV/0!</v>
      </c>
      <c r="CY4" s="44" t="e">
        <f>tbl_Hospital_Multi[[Predicted Emissions]:[Predicted Emissions]]*(tbl_Hospital_Multi[[#This Row],[4.0* Max BF Energy]])/100</f>
        <v>#DIV/0!</v>
      </c>
      <c r="CZ4" s="44" t="e">
        <f>tbl_Hospital_Multi[[Predicted Emissions]:[Predicted Emissions]]*(tbl_Hospital_Multi[[#This Row],[3.5* Max BF Energy]])/100</f>
        <v>#DIV/0!</v>
      </c>
      <c r="DA4" s="44" t="e">
        <f>tbl_Hospital_Multi[[Predicted Emissions]:[Predicted Emissions]]*(tbl_Hospital_Multi[[#This Row],[3.0* Max BF Energy]])/100</f>
        <v>#DIV/0!</v>
      </c>
      <c r="DB4" s="44" t="e">
        <f>tbl_Hospital_Multi[[Predicted Emissions]:[Predicted Emissions]]*(tbl_Hospital_Multi[[#This Row],[2.5* Max BF Energy]])/100</f>
        <v>#DIV/0!</v>
      </c>
      <c r="DC4" s="44" t="e">
        <f>tbl_Hospital_Multi[[Predicted Emissions]:[Predicted Emissions]]*(tbl_Hospital_Multi[[#This Row],[2.0* Max BF Energy]])/100</f>
        <v>#DIV/0!</v>
      </c>
      <c r="DD4" s="44" t="e">
        <f>tbl_Hospital_Multi[[Predicted Emissions]:[Predicted Emissions]]*(tbl_Hospital_Multi[[#This Row],[1.5* Max BF Energy]])/100</f>
        <v>#DIV/0!</v>
      </c>
      <c r="DE4" s="44" t="e">
        <f>tbl_Hospital_Multi[[Predicted Emissions]:[Predicted Emissions]]*(tbl_Hospital_Multi[[#This Row],[1.0* Max BF Energy]])/100</f>
        <v>#DIV/0!</v>
      </c>
      <c r="DF4" s="44" t="e">
        <f>tbl_Hospital_Multi[[Predicted Emissions]:[Predicted Emissions]]*(tbl_Hospital_Multi[[#This Row],[0.0* Max BF Energy]])/100</f>
        <v>#DIV/0!</v>
      </c>
      <c r="DG4" s="44" t="e">
        <f>tbl_Hospital_Multi[[#This Row],[6.0* Max e]]/tbl_Hospital_Multi[[EffGHG]:[EffGHG]]</f>
        <v>#DIV/0!</v>
      </c>
      <c r="DH4" s="44" t="e">
        <f>tbl_Hospital_Multi[[#This Row],[5.5* Max e]]/tbl_Hospital_Multi[[EffGHG]:[EffGHG]]</f>
        <v>#DIV/0!</v>
      </c>
      <c r="DI4" s="44" t="e">
        <f>tbl_Hospital_Multi[[#This Row],[5.0* Max e]]/tbl_Hospital_Multi[[EffGHG]:[EffGHG]]</f>
        <v>#DIV/0!</v>
      </c>
      <c r="DJ4" s="44" t="e">
        <f>tbl_Hospital_Multi[[#This Row],[4.5* Max e]]/tbl_Hospital_Multi[[EffGHG]:[EffGHG]]</f>
        <v>#DIV/0!</v>
      </c>
      <c r="DK4" s="44" t="e">
        <f>tbl_Hospital_Multi[[#This Row],[4.0* Max e]]/tbl_Hospital_Multi[[EffGHG]:[EffGHG]]</f>
        <v>#DIV/0!</v>
      </c>
      <c r="DL4" s="44" t="e">
        <f>tbl_Hospital_Multi[[#This Row],[3.5* Max e]]/tbl_Hospital_Multi[[EffGHG]:[EffGHG]]</f>
        <v>#DIV/0!</v>
      </c>
      <c r="DM4" s="44" t="e">
        <f>tbl_Hospital_Multi[[#This Row],[3.0* Max e]]/tbl_Hospital_Multi[[EffGHG]:[EffGHG]]</f>
        <v>#DIV/0!</v>
      </c>
      <c r="DN4" s="44" t="e">
        <f>tbl_Hospital_Multi[[#This Row],[2.5* Max e]]/tbl_Hospital_Multi[[EffGHG]:[EffGHG]]</f>
        <v>#DIV/0!</v>
      </c>
      <c r="DO4" s="44" t="e">
        <f>tbl_Hospital_Multi[[#This Row],[2.0* Max e]]/tbl_Hospital_Multi[[EffGHG]:[EffGHG]]</f>
        <v>#DIV/0!</v>
      </c>
      <c r="DP4" s="44" t="e">
        <f>tbl_Hospital_Multi[[#This Row],[1.5* Max e]]/tbl_Hospital_Multi[[EffGHG]:[EffGHG]]</f>
        <v>#DIV/0!</v>
      </c>
      <c r="DQ4" s="44" t="e">
        <f>tbl_Hospital_Multi[[#This Row],[1.0* Max e]]/tbl_Hospital_Multi[[EffGHG]:[EffGHG]]</f>
        <v>#DIV/0!</v>
      </c>
      <c r="DR4" s="44" t="e">
        <f>tbl_Hospital_Multi[[#This Row],[0.0* Max e]]/tbl_Hospital_Multi[[EffGHG]:[EffGHG]]</f>
        <v>#DIV/0!</v>
      </c>
      <c r="DS4" s="44" t="e">
        <f>ROUNDDOWN(tbl_Hospital_Multi[[#This Row],[6.0* Max Energy (MJ)]]*tbl_Hospital_Multi[[Electricity (%)]:[Electricity (%)]]/tbl_Hospital_Multi[[CFelec]:[CFelec]],0)</f>
        <v>#DIV/0!</v>
      </c>
      <c r="DT4" s="44" t="e">
        <f>ROUNDDOWN(tbl_Hospital_Multi[[#This Row],[5.5* Max Energy (MJ)]]*tbl_Hospital_Multi[[Electricity (%)]:[Electricity (%)]]/tbl_Hospital_Multi[[CFelec]:[CFelec]],0)</f>
        <v>#DIV/0!</v>
      </c>
      <c r="DU4" s="44" t="e">
        <f>ROUNDDOWN(tbl_Hospital_Multi[[#This Row],[5.0* Max Energy (MJ)]]*tbl_Hospital_Multi[[Electricity (%)]:[Electricity (%)]]/tbl_Hospital_Multi[[CFelec]:[CFelec]],0)</f>
        <v>#DIV/0!</v>
      </c>
      <c r="DV4" s="44" t="e">
        <f>ROUNDDOWN(tbl_Hospital_Multi[[#This Row],[4.5* Max Energy (MJ)]]*tbl_Hospital_Multi[[Electricity (%)]:[Electricity (%)]]/tbl_Hospital_Multi[[CFelec]:[CFelec]],0)</f>
        <v>#DIV/0!</v>
      </c>
      <c r="DW4" s="44" t="e">
        <f>ROUNDDOWN(tbl_Hospital_Multi[[#This Row],[4.0* Max Energy (MJ)]]*tbl_Hospital_Multi[[Electricity (%)]:[Electricity (%)]]/tbl_Hospital_Multi[[CFelec]:[CFelec]],0)</f>
        <v>#DIV/0!</v>
      </c>
      <c r="DX4" s="44" t="e">
        <f>ROUNDDOWN(tbl_Hospital_Multi[[#This Row],[3.5* Max Energy (MJ)]]*tbl_Hospital_Multi[[Electricity (%)]:[Electricity (%)]]/tbl_Hospital_Multi[[CFelec]:[CFelec]],0)</f>
        <v>#DIV/0!</v>
      </c>
      <c r="DY4" s="44" t="e">
        <f>ROUNDDOWN(tbl_Hospital_Multi[[#This Row],[3.0* Max Energy (MJ)]]*tbl_Hospital_Multi[[Electricity (%)]:[Electricity (%)]]/tbl_Hospital_Multi[[CFelec]:[CFelec]],0)</f>
        <v>#DIV/0!</v>
      </c>
      <c r="DZ4" s="44" t="e">
        <f>ROUNDDOWN(tbl_Hospital_Multi[[#This Row],[2.5* Max Energy (MJ)]]*tbl_Hospital_Multi[[Electricity (%)]:[Electricity (%)]]/tbl_Hospital_Multi[[CFelec]:[CFelec]],0)</f>
        <v>#DIV/0!</v>
      </c>
      <c r="EA4" s="44" t="e">
        <f>ROUNDDOWN(tbl_Hospital_Multi[[#This Row],[2.0* Max Energy (MJ)]]*tbl_Hospital_Multi[[Electricity (%)]:[Electricity (%)]]/tbl_Hospital_Multi[[CFelec]:[CFelec]],0)</f>
        <v>#DIV/0!</v>
      </c>
      <c r="EB4" s="44" t="e">
        <f>ROUNDDOWN(tbl_Hospital_Multi[[#This Row],[1.5* Max Energy (MJ)]]*tbl_Hospital_Multi[[Electricity (%)]:[Electricity (%)]]/tbl_Hospital_Multi[[CFelec]:[CFelec]],0)</f>
        <v>#DIV/0!</v>
      </c>
      <c r="EC4" s="44" t="e">
        <f>ROUNDDOWN(tbl_Hospital_Multi[[#This Row],[1.0* Max Energy (MJ)]]*tbl_Hospital_Multi[[Electricity (%)]:[Electricity (%)]]/tbl_Hospital_Multi[[CFelec]:[CFelec]],0)</f>
        <v>#DIV/0!</v>
      </c>
      <c r="ED4" s="44" t="e">
        <f>ROUNDDOWN(tbl_Hospital_Multi[[#This Row],[0.0* Max Energy (MJ)]]*tbl_Hospital_Multi[[Electricity (%)]:[Electricity (%)]]/tbl_Hospital_Multi[[CFelec]:[CFelec]],0)</f>
        <v>#DIV/0!</v>
      </c>
      <c r="EE4" s="44" t="e">
        <f>ROUNDDOWN(tbl_Hospital_Multi[[#This Row],[6.0* Max Energy (MJ)]]*tbl_Hospital_Multi[[Gas (%)]:[Gas (%)]],0)</f>
        <v>#DIV/0!</v>
      </c>
      <c r="EF4" s="44" t="e">
        <f>ROUNDDOWN(tbl_Hospital_Multi[[#This Row],[5.5* Max Energy (MJ)]]*tbl_Hospital_Multi[[Gas (%)]:[Gas (%)]],0)</f>
        <v>#DIV/0!</v>
      </c>
      <c r="EG4" s="44" t="e">
        <f>ROUNDDOWN(tbl_Hospital_Multi[[#This Row],[5.0* Max Energy (MJ)]]*tbl_Hospital_Multi[[Gas (%)]:[Gas (%)]],0)</f>
        <v>#DIV/0!</v>
      </c>
      <c r="EH4" s="44" t="e">
        <f>ROUNDDOWN(tbl_Hospital_Multi[[#This Row],[4.5* Max Energy (MJ)]]*tbl_Hospital_Multi[[Gas (%)]:[Gas (%)]],0)</f>
        <v>#DIV/0!</v>
      </c>
      <c r="EI4" s="44" t="e">
        <f>ROUNDDOWN(tbl_Hospital_Multi[[#This Row],[4.0* Max Energy (MJ)]]*tbl_Hospital_Multi[[Gas (%)]:[Gas (%)]],0)</f>
        <v>#DIV/0!</v>
      </c>
      <c r="EJ4" s="44" t="e">
        <f>ROUNDDOWN(tbl_Hospital_Multi[[#This Row],[3.5* Max Energy (MJ)]]*tbl_Hospital_Multi[[Gas (%)]:[Gas (%)]],0)</f>
        <v>#DIV/0!</v>
      </c>
      <c r="EK4" s="44" t="e">
        <f>ROUNDDOWN(tbl_Hospital_Multi[[#This Row],[3.0* Max Energy (MJ)]]*tbl_Hospital_Multi[[Gas (%)]:[Gas (%)]],0)</f>
        <v>#DIV/0!</v>
      </c>
      <c r="EL4" s="44" t="e">
        <f>ROUNDDOWN(tbl_Hospital_Multi[[#This Row],[2.5* Max Energy (MJ)]]*tbl_Hospital_Multi[[Gas (%)]:[Gas (%)]],0)</f>
        <v>#DIV/0!</v>
      </c>
      <c r="EM4" s="44" t="e">
        <f>ROUNDDOWN(tbl_Hospital_Multi[[#This Row],[2.0* Max Energy (MJ)]]*tbl_Hospital_Multi[[Gas (%)]:[Gas (%)]],0)</f>
        <v>#DIV/0!</v>
      </c>
      <c r="EN4" s="44" t="e">
        <f>ROUNDDOWN(tbl_Hospital_Multi[[#This Row],[1.5* Max Energy (MJ)]]*tbl_Hospital_Multi[[Gas (%)]:[Gas (%)]],0)</f>
        <v>#DIV/0!</v>
      </c>
      <c r="EO4" s="44" t="e">
        <f>ROUNDDOWN(tbl_Hospital_Multi[[#This Row],[1.0* Max Energy (MJ)]]*tbl_Hospital_Multi[[Gas (%)]:[Gas (%)]],0)</f>
        <v>#DIV/0!</v>
      </c>
      <c r="EP4" s="44" t="e">
        <f>ROUNDDOWN(tbl_Hospital_Multi[[#This Row],[0.0* Max Energy (MJ)]]*tbl_Hospital_Multi[[Gas (%)]:[Gas (%)]],0)</f>
        <v>#DIV/0!</v>
      </c>
      <c r="EQ4" s="44" t="e">
        <f>ROUNDDOWN(tbl_Hospital_Multi[[#This Row],[6.0* Max Energy (MJ)]]*tbl_Hospital_Multi[[LPG (%)]:[LPG (%)]]/tbl_Hospital_Multi[[CFLPG]:[CFLPG]],0)</f>
        <v>#DIV/0!</v>
      </c>
      <c r="ER4" s="44" t="e">
        <f>ROUNDDOWN(tbl_Hospital_Multi[[#This Row],[5.5* Max Energy (MJ)]]*tbl_Hospital_Multi[[LPG (%)]:[LPG (%)]]/tbl_Hospital_Multi[[CFLPG]:[CFLPG]],0)</f>
        <v>#DIV/0!</v>
      </c>
      <c r="ES4" s="44" t="e">
        <f>ROUNDDOWN(tbl_Hospital_Multi[[#This Row],[5.0* Max Energy (MJ)]]*tbl_Hospital_Multi[[LPG (%)]:[LPG (%)]]/tbl_Hospital_Multi[[CFLPG]:[CFLPG]],0)</f>
        <v>#DIV/0!</v>
      </c>
      <c r="ET4" s="44" t="e">
        <f>ROUNDDOWN(tbl_Hospital_Multi[[#This Row],[4.5* Max Energy (MJ)]]*tbl_Hospital_Multi[[LPG (%)]:[LPG (%)]]/tbl_Hospital_Multi[[CFLPG]:[CFLPG]],0)</f>
        <v>#DIV/0!</v>
      </c>
      <c r="EU4" s="44" t="e">
        <f>ROUNDDOWN(tbl_Hospital_Multi[[#This Row],[4.0* Max Energy (MJ)]]*tbl_Hospital_Multi[[LPG (%)]:[LPG (%)]]/tbl_Hospital_Multi[[CFLPG]:[CFLPG]],0)</f>
        <v>#DIV/0!</v>
      </c>
      <c r="EV4" s="44" t="e">
        <f>ROUNDDOWN(tbl_Hospital_Multi[[#This Row],[3.5* Max Energy (MJ)]]*tbl_Hospital_Multi[[LPG (%)]:[LPG (%)]]/tbl_Hospital_Multi[[CFLPG]:[CFLPG]],0)</f>
        <v>#DIV/0!</v>
      </c>
      <c r="EW4" s="44" t="e">
        <f>ROUNDDOWN(tbl_Hospital_Multi[[#This Row],[3.0* Max Energy (MJ)]]*tbl_Hospital_Multi[[LPG (%)]:[LPG (%)]]/tbl_Hospital_Multi[[CFLPG]:[CFLPG]],0)</f>
        <v>#DIV/0!</v>
      </c>
      <c r="EX4" s="44" t="e">
        <f>ROUNDDOWN(tbl_Hospital_Multi[[#This Row],[2.5* Max Energy (MJ)]]*tbl_Hospital_Multi[[LPG (%)]:[LPG (%)]]/tbl_Hospital_Multi[[CFLPG]:[CFLPG]],0)</f>
        <v>#DIV/0!</v>
      </c>
      <c r="EY4" s="44" t="e">
        <f>ROUNDDOWN(tbl_Hospital_Multi[[#This Row],[2.0* Max Energy (MJ)]]*tbl_Hospital_Multi[[LPG (%)]:[LPG (%)]]/tbl_Hospital_Multi[[CFLPG]:[CFLPG]],0)</f>
        <v>#DIV/0!</v>
      </c>
      <c r="EZ4" s="44" t="e">
        <f>ROUNDDOWN(tbl_Hospital_Multi[[#This Row],[1.5* Max Energy (MJ)]]*tbl_Hospital_Multi[[LPG (%)]:[LPG (%)]]/tbl_Hospital_Multi[[CFLPG]:[CFLPG]],0)</f>
        <v>#DIV/0!</v>
      </c>
      <c r="FA4" s="44" t="e">
        <f>ROUNDDOWN(tbl_Hospital_Multi[[#This Row],[1.0* Max Energy (MJ)]]*tbl_Hospital_Multi[[LPG (%)]:[LPG (%)]]/tbl_Hospital_Multi[[CFLPG]:[CFLPG]],0)</f>
        <v>#DIV/0!</v>
      </c>
      <c r="FB4" s="44" t="e">
        <f>ROUNDDOWN(tbl_Hospital_Multi[[#This Row],[0.0* Max Energy (MJ)]]*tbl_Hospital_Multi[[LPG (%)]:[LPG (%)]]/tbl_Hospital_Multi[[CFLPG]:[CFLPG]],0)</f>
        <v>#DIV/0!</v>
      </c>
      <c r="FC4" s="44" t="e">
        <f>ROUNDDOWN(tbl_Hospital_Multi[[#This Row],[6.0* Max Energy (MJ)]]*tbl_Hospital_Multi[[Diesel (%)]:[Diesel (%)]]/tbl_Hospital_Multi[[CFdiesel]:[CFdiesel]],0)</f>
        <v>#DIV/0!</v>
      </c>
      <c r="FD4" s="44" t="e">
        <f>ROUNDDOWN(tbl_Hospital_Multi[[#This Row],[5.5* Max Energy (MJ)]]*tbl_Hospital_Multi[[Diesel (%)]:[Diesel (%)]]/tbl_Hospital_Multi[[CFdiesel]:[CFdiesel]],0)</f>
        <v>#DIV/0!</v>
      </c>
      <c r="FE4" s="44" t="e">
        <f>ROUNDDOWN(tbl_Hospital_Multi[[#This Row],[5.0* Max Energy (MJ)]]*tbl_Hospital_Multi[[Diesel (%)]:[Diesel (%)]]/tbl_Hospital_Multi[[CFdiesel]:[CFdiesel]],0)</f>
        <v>#DIV/0!</v>
      </c>
      <c r="FF4" s="44" t="e">
        <f>ROUNDDOWN(tbl_Hospital_Multi[[#This Row],[4.5* Max Energy (MJ)]]*tbl_Hospital_Multi[[Diesel (%)]:[Diesel (%)]]/tbl_Hospital_Multi[[CFdiesel]:[CFdiesel]],0)</f>
        <v>#DIV/0!</v>
      </c>
      <c r="FG4" s="44" t="e">
        <f>ROUNDDOWN(tbl_Hospital_Multi[[#This Row],[4.0* Max Energy (MJ)]]*tbl_Hospital_Multi[[Diesel (%)]:[Diesel (%)]]/tbl_Hospital_Multi[[CFdiesel]:[CFdiesel]],0)</f>
        <v>#DIV/0!</v>
      </c>
      <c r="FH4" s="44" t="e">
        <f>ROUNDDOWN(tbl_Hospital_Multi[[#This Row],[3.5* Max Energy (MJ)]]*tbl_Hospital_Multi[[Diesel (%)]:[Diesel (%)]]/tbl_Hospital_Multi[[CFdiesel]:[CFdiesel]],0)</f>
        <v>#DIV/0!</v>
      </c>
      <c r="FI4" s="44" t="e">
        <f>ROUNDDOWN(tbl_Hospital_Multi[[#This Row],[3.0* Max Energy (MJ)]]*tbl_Hospital_Multi[[Diesel (%)]:[Diesel (%)]]/tbl_Hospital_Multi[[CFdiesel]:[CFdiesel]],0)</f>
        <v>#DIV/0!</v>
      </c>
      <c r="FJ4" s="44" t="e">
        <f>ROUNDDOWN(tbl_Hospital_Multi[[#This Row],[2.5* Max Energy (MJ)]]*tbl_Hospital_Multi[[Diesel (%)]:[Diesel (%)]]/tbl_Hospital_Multi[[CFdiesel]:[CFdiesel]],0)</f>
        <v>#DIV/0!</v>
      </c>
      <c r="FK4" s="44" t="e">
        <f>ROUNDDOWN(tbl_Hospital_Multi[[#This Row],[2.0* Max Energy (MJ)]]*tbl_Hospital_Multi[[Diesel (%)]:[Diesel (%)]]/tbl_Hospital_Multi[[CFdiesel]:[CFdiesel]],0)</f>
        <v>#DIV/0!</v>
      </c>
      <c r="FL4" s="44" t="e">
        <f>ROUNDDOWN(tbl_Hospital_Multi[[#This Row],[1.5* Max Energy (MJ)]]*tbl_Hospital_Multi[[Diesel (%)]:[Diesel (%)]]/tbl_Hospital_Multi[[CFdiesel]:[CFdiesel]],0)</f>
        <v>#DIV/0!</v>
      </c>
      <c r="FM4" s="44" t="e">
        <f>ROUNDDOWN(tbl_Hospital_Multi[[#This Row],[1.0* Max Energy (MJ)]]*tbl_Hospital_Multi[[Diesel (%)]:[Diesel (%)]]/tbl_Hospital_Multi[[CFdiesel]:[CFdiesel]],0)</f>
        <v>#DIV/0!</v>
      </c>
      <c r="FN4" s="44" t="e">
        <f>ROUNDDOWN(tbl_Hospital_Multi[[#This Row],[0.0* Max Energy (MJ)]]*tbl_Hospital_Multi[[Diesel (%)]:[Diesel (%)]]/tbl_Hospital_Multi[[CFdiesel]:[CFdiesel]],0)</f>
        <v>#DIV/0!</v>
      </c>
      <c r="FO4" s="44">
        <f>(LEFT(tbl_Hospital_Multi[[#Headers],[6.0* Max BF Water]],3)-7)/(-6/159)</f>
        <v>26.5</v>
      </c>
      <c r="FP4" s="44">
        <f>(LEFT(tbl_Hospital_Multi[[#Headers],[5.5* Max BF Water]],3)-7)/(-6/159)</f>
        <v>39.75</v>
      </c>
      <c r="FQ4" s="44">
        <f>(LEFT(tbl_Hospital_Multi[[#Headers],[5.0* Max BF Water]],3)-7)/(-6/159)</f>
        <v>53</v>
      </c>
      <c r="FR4" s="44">
        <f>(LEFT(tbl_Hospital_Multi[[#Headers],[4.5* Max BF Water]],3)-7)/(-6/159)</f>
        <v>66.25</v>
      </c>
      <c r="FS4" s="44">
        <f>(LEFT(tbl_Hospital_Multi[[#Headers],[4.0* Max BF Water]],3)-7)/(-6/159)</f>
        <v>79.5</v>
      </c>
      <c r="FT4" s="44">
        <f>(LEFT(tbl_Hospital_Multi[[#Headers],[3.5* Max BF Water]],3)-7)/(-6/159)</f>
        <v>92.75</v>
      </c>
      <c r="FU4" s="44">
        <f>(LEFT(tbl_Hospital_Multi[[#Headers],[3.0* Max BF Water]],3)-7)/(-6/159)</f>
        <v>106</v>
      </c>
      <c r="FV4" s="44">
        <f>(LEFT(tbl_Hospital_Multi[[#Headers],[2.5* Max BF Water]],3)-7)/(-6/159)</f>
        <v>119.25</v>
      </c>
      <c r="FW4" s="44">
        <f>(LEFT(tbl_Hospital_Multi[[#Headers],[2.0* Max BF  Water]],3)-7)/(-6/159)</f>
        <v>132.5</v>
      </c>
      <c r="FX4" s="44">
        <f>(LEFT(tbl_Hospital_Multi[[#Headers],[1.5* Max BF  Water]],3)-7)/(-6/159)</f>
        <v>145.75</v>
      </c>
      <c r="FY4" s="44">
        <f>(LEFT(tbl_Hospital_Multi[[#Headers],[1.0* Max BF  Water]],3)-7)/(-6/159)</f>
        <v>159</v>
      </c>
      <c r="FZ4" s="44">
        <f>(LEFT(tbl_Hospital_Multi[[#Headers],[0.0* Max BF  Water]],3)-7)/(-6/159)</f>
        <v>185.5</v>
      </c>
      <c r="GA4" s="44" t="e">
        <f>tbl_Hospital_Multi[[#This Row],[6.0* Max BF Water]]*tbl_Hospital_Multi[[Predicted Water Consumption]:[Predicted Water Consumption]]/100</f>
        <v>#DIV/0!</v>
      </c>
      <c r="GB4" s="44" t="e">
        <f>tbl_Hospital_Multi[[#This Row],[5.5* Max BF Water]]*tbl_Hospital_Multi[[Predicted Water Consumption]:[Predicted Water Consumption]]/100</f>
        <v>#DIV/0!</v>
      </c>
      <c r="GC4" s="44" t="e">
        <f>tbl_Hospital_Multi[[#This Row],[5.0* Max BF Water]]*tbl_Hospital_Multi[[Predicted Water Consumption]:[Predicted Water Consumption]]/100</f>
        <v>#DIV/0!</v>
      </c>
      <c r="GD4" s="44" t="e">
        <f>tbl_Hospital_Multi[[#This Row],[4.5* Max BF Water]]*tbl_Hospital_Multi[[Predicted Water Consumption]:[Predicted Water Consumption]]/100</f>
        <v>#DIV/0!</v>
      </c>
      <c r="GE4" s="44" t="e">
        <f>tbl_Hospital_Multi[[#This Row],[4.0* Max BF Water]]*tbl_Hospital_Multi[[Predicted Water Consumption]:[Predicted Water Consumption]]/100</f>
        <v>#DIV/0!</v>
      </c>
      <c r="GF4" s="44" t="e">
        <f>tbl_Hospital_Multi[[#This Row],[3.5* Max BF Water]]*tbl_Hospital_Multi[[Predicted Water Consumption]:[Predicted Water Consumption]]/100</f>
        <v>#DIV/0!</v>
      </c>
      <c r="GG4" s="44" t="e">
        <f>tbl_Hospital_Multi[[#This Row],[3.0* Max BF Water]]*tbl_Hospital_Multi[[Predicted Water Consumption]:[Predicted Water Consumption]]/100</f>
        <v>#DIV/0!</v>
      </c>
      <c r="GH4" s="44" t="e">
        <f>tbl_Hospital_Multi[[#This Row],[2.5* Max BF Water]]*tbl_Hospital_Multi[[Predicted Water Consumption]:[Predicted Water Consumption]]/100</f>
        <v>#DIV/0!</v>
      </c>
      <c r="GI4" s="44" t="e">
        <f>tbl_Hospital_Multi[[#This Row],[2.0* Max BF  Water]]*tbl_Hospital_Multi[[Predicted Water Consumption]:[Predicted Water Consumption]]/100</f>
        <v>#DIV/0!</v>
      </c>
      <c r="GJ4" s="44" t="e">
        <f>tbl_Hospital_Multi[[#This Row],[1.5* Max BF  Water]]*tbl_Hospital_Multi[[Predicted Water Consumption]:[Predicted Water Consumption]]/100</f>
        <v>#DIV/0!</v>
      </c>
      <c r="GK4" s="44" t="e">
        <f>tbl_Hospital_Multi[[#This Row],[1.0* Max BF  Water]]*tbl_Hospital_Multi[[Predicted Water Consumption]:[Predicted Water Consumption]]/100</f>
        <v>#DIV/0!</v>
      </c>
      <c r="GL4" s="44" t="e">
        <f>tbl_Hospital_Multi[[#This Row],[0.0* Max BF  Water]]*tbl_Hospital_Multi[[Predicted Water Consumption]:[Predicted Water Consumption]]/100</f>
        <v>#DIV/0!</v>
      </c>
      <c r="GM4" s="44" t="e">
        <f>SUM(tbl_Hospital_Multi[[#This Row],[Electricity]]*(1-tbl_Hospital_Multi[[#This Row],[GP]])*tbl_Hospital_Multi[[#This Row],[SGEe Scopes 1,2&amp;3]],
tbl_Hospital_Multi[[#This Row],[Gas]]*tbl_Hospital_Multi[[#This Row],[SGEg Scopes 1,2&amp;3]],
tbl_Hospital_Multi[[#This Row],[Diesel]]*tbl_Hospital_Multi[[#This Row],[SGEd Scopes 1,2&amp;3]])</f>
        <v>#N/A</v>
      </c>
      <c r="GN4" s="44" t="e">
        <f>SUM(tbl_Hospital_Multi[[#This Row],[Electricity]]*(1-tbl_Hospital_Multi[[#This Row],[GP]])*tbl_Hospital_Multi[[#This Row],[SGEe Scopes 1&amp;2]],
tbl_Hospital_Multi[[#This Row],[Gas]]*tbl_Hospital_Multi[[#This Row],[SGEg Scopes 1&amp;2]],
tbl_Hospital_Multi[[#This Row],[Diesel]]*tbl_Hospital_Multi[[#This Row],[SGEd Scopes 1&amp;2]])</f>
        <v>#N/A</v>
      </c>
      <c r="GO4" s="45" t="e">
        <f>IF(tbl_Hospital_Multi[[#This Row],[Energy Star Decimal (with GP)]]&lt;1,0,MIN(ROUNDDOWN(tbl_Hospital_Multi[[#This Row],[Energy Star Decimal (with GP)]]*2,0)/2,6))</f>
        <v>#N/A</v>
      </c>
      <c r="GP4" s="45" t="e">
        <f>((tbl_Hospital_Multi[[#This Row],[e-BF (with GP)]]*(-3.5/100)+7)*2)/2</f>
        <v>#N/A</v>
      </c>
      <c r="GQ4" s="45" t="e">
        <f>IF(tbl_Hospital_Multi[[#This Row],[Energy Star Decimal (no GP)]]&lt;1,0,MIN(ROUNDDOWN(tbl_Hospital_Multi[[#This Row],[Energy Star Decimal (no GP)]]*2,0)/2,6))</f>
        <v>#N/A</v>
      </c>
      <c r="GR4" s="45" t="e">
        <f>((tbl_Hospital_Multi[[#This Row],[e-BF (no GP)]]*(-3.5/100)+7)*2)/2</f>
        <v>#N/A</v>
      </c>
      <c r="GS4" s="45" t="e">
        <f>SUM(tbl_Hospital_Multi[[#This Row],[Electricity]]*(1-tbl_Hospital_Multi[[#This Row],[GP]])*tbl_Hospital_Multi[[#This Row],[SGEe2022]],
tbl_Hospital_Multi[[#This Row],[Gas]]*tbl_Hospital_Multi[[#This Row],[SGEg2022]],
tbl_Hospital_Multi[[#This Row],[LPG]]*tbl_Hospital_Multi[[#This Row],[SGEL2022]],
tbl_Hospital_Multi[[#This Row],[Diesel]]*tbl_Hospital_Multi[[#This Row],[SGEd2022]])
/tbl_Hospital_Multi[[#This Row],[Predicted Emissions]]*100</f>
        <v>#N/A</v>
      </c>
      <c r="GT4" s="45" t="e">
        <f>SUM(tbl_Hospital_Multi[[#This Row],[Electricity]]*tbl_Hospital_Multi[[#This Row],[SGEe2022]],
tbl_Hospital_Multi[[#This Row],[Gas]]*tbl_Hospital_Multi[[#This Row],[SGEg2022]],
tbl_Hospital_Multi[[#This Row],[LPG]]*tbl_Hospital_Multi[[#This Row],[SGEL2022]],
tbl_Hospital_Multi[[#This Row],[Diesel]]*tbl_Hospital_Multi[[#This Row],[SGEd2022]])
/tbl_Hospital_Multi[[#This Row],[Predicted Emissions]]*100</f>
        <v>#N/A</v>
      </c>
      <c r="GU4" s="45" t="e">
        <f>IF(tbl_Hospital_Multi[[#This Row],[Water Star Decimal (with recyc)]]&lt;1,0,MIN(ROUNDDOWN(tbl_Hospital_Multi[[#This Row],[Water Star Decimal (with recyc)]]*2,0)/2,6))</f>
        <v>#DIV/0!</v>
      </c>
      <c r="GV4" s="45" t="e">
        <f>((tbl_Hospital_Multi[[#This Row],[w-BF (with recyc)]]*(-6/159)+7)*2)/2</f>
        <v>#DIV/0!</v>
      </c>
      <c r="GW4" s="45" t="e">
        <f>IF(tbl_Hospital_Multi[[#This Row],[Water Star Decimal (no recyc)]]&lt;1,0,MIN(ROUNDDOWN(tbl_Hospital_Multi[[#This Row],[Water Star Decimal (no recyc)]]*2,0)/2,6))</f>
        <v>#DIV/0!</v>
      </c>
      <c r="GX4" s="45" t="e">
        <f>((tbl_Hospital_Multi[[#This Row],[w-BF (no recyc)]]*(-6/159)+7)*2)/2</f>
        <v>#DIV/0!</v>
      </c>
      <c r="GY4" s="36" t="e">
        <f>tbl_Hospital_Multi[[#This Row],[water]]*(1-tbl_Hospital_Multi[[#This Row],[RW]])/tbl_Hospital_Multi[[#This Row],[Predicted Water Consumption]]*100</f>
        <v>#DIV/0!</v>
      </c>
      <c r="GZ4" s="36" t="e">
        <f>tbl_Hospital_Multi[[#This Row],[water]]/tbl_Hospital_Multi[[#This Row],[Predicted Water Consumption]]*100</f>
        <v>#DIV/0!</v>
      </c>
      <c r="HA4" s="36"/>
      <c r="HB4" s="36"/>
      <c r="HC4" s="36"/>
      <c r="HD4" s="36"/>
    </row>
    <row r="5" spans="1:212" ht="16.5" customHeight="1">
      <c r="A5" s="484">
        <v>4.5999999999999996</v>
      </c>
      <c r="B5" s="484">
        <v>2.6</v>
      </c>
      <c r="C5" s="485">
        <v>6743</v>
      </c>
      <c r="D5" s="485" t="s">
        <v>1413</v>
      </c>
      <c r="E5" s="486">
        <v>823</v>
      </c>
      <c r="F5" s="486">
        <v>153</v>
      </c>
      <c r="G5" s="486">
        <v>0</v>
      </c>
      <c r="H5" s="486">
        <v>0</v>
      </c>
      <c r="I5" s="487">
        <v>0.73</v>
      </c>
      <c r="J5" s="487">
        <v>0.25</v>
      </c>
      <c r="K5" s="487">
        <v>0.02</v>
      </c>
      <c r="L5" s="487">
        <v>0</v>
      </c>
      <c r="M5" s="126">
        <f>tbl_Hospital_Multi[[#This Row],[Target Max Energy BF]]</f>
        <v>68.571428571428584</v>
      </c>
      <c r="N5" s="42">
        <f>IF(tbl_Hospital_Multi[[#This Row],[CCentering]]="NA","NA for "&amp;tbl_Hospital_Multi[[#This Row],[State]],tbl_Hospital_Multi[[#This Row],[Predicted Emissions]])</f>
        <v>78876.782745354576</v>
      </c>
      <c r="O5" s="42">
        <f>IF(tbl_Hospital_Multi[[#This Row],[CCentering]]="NA","NA for "&amp;tbl_Hospital_Multi[[#This Row],[State]],tbl_Hospital_Multi[[#This Row],[Target Max CO2]])</f>
        <v>54086.936739671721</v>
      </c>
      <c r="P5" s="378">
        <f>IF(tbl_Hospital_Multi[[#This Row],[CCentering]]="NA","NA for "&amp;tbl_Hospital_Multi[[#This Row],[State]],tbl_Hospital_Multi[[#This Row],[Target Max CO2 Intensity]])</f>
        <v>65.719242697049481</v>
      </c>
      <c r="Q5" s="378">
        <f>IF(tbl_Hospital_Multi[[#This Row],[CCentering]]="NA","NA for "&amp;tbl_Hospital_Multi[[#This Row],[State]],tbl_Hospital_Multi[[#This Row],[Target Max Energy Intensity]])</f>
        <v>517.26549977716377</v>
      </c>
      <c r="R5" s="42">
        <f>IF(tbl_Hospital_Multi[[#This Row],[CCentering]]="NA","NA for "&amp;tbl_Hospital_Multi[[#This Row],[State]],tbl_Hospital_Multi[[#This Row],[Target Scopes 1,2&amp;3]])</f>
        <v>54086.075370000006</v>
      </c>
      <c r="S5" s="42">
        <f>IF(tbl_Hospital_Multi[[#This Row],[CCentering]]="NA","NA for "&amp;tbl_Hospital_Multi[[#This Row],[State]],tbl_Hospital_Multi[[#This Row],[Target Scopes 1&amp;2]])</f>
        <v>50024.929329999999</v>
      </c>
      <c r="T5" s="42">
        <f>IF(tbl_Hospital_Multi[[#This Row],[CCentering]]="NA","NA for "&amp;tbl_Hospital_Multi[[#This Row],[State]],tbl_Hospital_Multi[[#This Row],[Target Max Elec (kWh)]])</f>
        <v>86324</v>
      </c>
      <c r="U5" s="42">
        <f>IF(tbl_Hospital_Multi[[#This Row],[CCentering]]="NA","NA for "&amp;tbl_Hospital_Multi[[#This Row],[State]],tbl_Hospital_Multi[[#This Row],[Target Max Gas (MJ)]])</f>
        <v>106427</v>
      </c>
      <c r="V5" s="42">
        <f>IF(tbl_Hospital_Multi[[#This Row],[CCentering]]="NA","NA for "&amp;tbl_Hospital_Multi[[#This Row],[State]],tbl_Hospital_Multi[[#This Row],[Target Max LPG (L)]])</f>
        <v>331</v>
      </c>
      <c r="W5" s="42">
        <f>IF(tbl_Hospital_Multi[[#This Row],[CCentering]]="NA","NA for "&amp;tbl_Hospital_Multi[[#This Row],[State]],tbl_Hospital_Multi[[#This Row],[Target Max Diesel (L)]])</f>
        <v>0</v>
      </c>
      <c r="X5" s="126">
        <f>tbl_Hospital_Multi[[#This Row],[Target Max Water BF]]</f>
        <v>116.60000000000001</v>
      </c>
      <c r="Y5" s="42">
        <f>IF(tbl_Hospital_Multi[[#This Row],[CCentering]]="NA","NA for "&amp;tbl_Hospital_Multi[[#This Row],[State]],tbl_Hospital_Multi[[#This Row],[Predicted Water Consumption]])</f>
        <v>4416.9470766491604</v>
      </c>
      <c r="Z5" s="42">
        <f>IF(tbl_Hospital_Multi[[#This Row],[CCentering]]="NA","NA for "&amp;tbl_Hospital_Multi[[#This Row],[State]],tbl_Hospital_Multi[[#This Row],[Target Max Water (kL)]])</f>
        <v>5150</v>
      </c>
      <c r="AA5" s="126">
        <f>IF(tbl_Hospital_Multi[[#This Row],[CCentering]]="NA","NA for "&amp;tbl_Hospital_Multi[[#This Row],[State]],tbl_Hospital_Multi[[#This Row],[Target Max Water Inensity]])</f>
        <v>6.2575941676792226</v>
      </c>
      <c r="AB5" s="285">
        <v>857096</v>
      </c>
      <c r="AC5" s="285">
        <v>2776993</v>
      </c>
      <c r="AD5" s="285">
        <v>7993</v>
      </c>
      <c r="AE5" s="285">
        <v>7993</v>
      </c>
      <c r="AF5" s="43">
        <v>0</v>
      </c>
      <c r="AG5" s="285">
        <v>23761</v>
      </c>
      <c r="AH5" s="43">
        <v>0</v>
      </c>
      <c r="AI5" s="45" t="str">
        <f>INDEX(tbl_Climate_Lookup[],MATCH(tbl_Hospital_Multi[[Postcode]:[Postcode]],tbl_Climate_Lookup[[Postcode]:[Postcode]],0),MATCH(tbl_Hospital_Multi[[#Headers],[State]],tbl_Climate_Lookup[#Headers],0))</f>
        <v>WA</v>
      </c>
      <c r="AJ5" s="45">
        <f>INDEX(tbl_Climate_Lookup[],MATCH(tbl_Hospital_Multi[[Postcode]:[Postcode]],tbl_Climate_Lookup[[Postcode]:[Postcode]],0),MATCH(tbl_Hospital_Multi[[#Headers],[Climate zone]],tbl_Climate_Lookup[#Headers],0))</f>
        <v>1</v>
      </c>
      <c r="AK5" s="169">
        <f>INDEX(tbl_Climate_Lookup[],MATCH(tbl_Hospital_Multi[[Postcode]:[Postcode]],tbl_Climate_Lookup[[Postcode]:[Postcode]],0),MATCH(tbl_Hospital_Multi[[#Headers],[HDD]],tbl_Climate_Lookup[#Headers],0))</f>
        <v>6</v>
      </c>
      <c r="AL5" s="169">
        <f>INDEX(tbl_Climate_Lookup[],MATCH(tbl_Hospital_Multi[[Postcode]:[Postcode]],tbl_Climate_Lookup[[Postcode]:[Postcode]],0),MATCH(tbl_Hospital_Multi[[#Headers],[CDD]],tbl_Climate_Lookup[#Headers],0))</f>
        <v>2016</v>
      </c>
      <c r="AM5" s="169">
        <f>IF(tbl_Hospital_Multi[[#This Row],[CFACBDays]]&gt;0,tbl_Hospital_Multi[[#This Row],[OBD]]+tbl_Hospital_Multi[[#This Row],[CFACBDays]],tbl_Hospital_Multi[[#This Row],[OBD]]+300*tbl_Hospital_Multi[[#This Row],[CFACB]])</f>
        <v>823</v>
      </c>
      <c r="AN5" s="169">
        <f>IF(tbl_Hospital_Multi[[#This Row],[Total OBD]]&lt;=20000,1,IF(tbl_Hospital_Multi[[#This Row],[Total OBD]]&gt;150000,3,2))</f>
        <v>1</v>
      </c>
      <c r="AO5" s="45">
        <f>INDEX(tbl_SGE_Hospital[],MATCH(tbl_Hospital_Multi[[State]:[State]],tbl_SGE_Hospital[[State]:[State]],0),MATCH(tbl_Hospital_Multi[[#Headers],[SGEe2022]],tbl_SGE_Hospital[#Headers],0))</f>
        <v>0.55000000000000004</v>
      </c>
      <c r="AP5" s="45">
        <f>INDEX(tbl_SGE_Hospital[],MATCH(tbl_Hospital_Multi[[State]:[State]],tbl_SGE_Hospital[[State]:[State]],0),MATCH(tbl_Hospital_Multi[[#Headers],[SGEg2022]],tbl_SGE_Hospital[#Headers],0))</f>
        <v>5.5629999999999999E-2</v>
      </c>
      <c r="AQ5" s="45">
        <f>INDEX(tbl_SGE_Hospital[],MATCH(tbl_Hospital_Multi[[State]:[State]],tbl_SGE_Hospital[[State]:[State]],0),MATCH(tbl_Hospital_Multi[[#Headers],[SGEL2022]],tbl_SGE_Hospital[#Headers],0))</f>
        <v>2.0765599999999997</v>
      </c>
      <c r="AR5" s="45">
        <f>INDEX(tbl_SGE_Hospital[],MATCH(tbl_Hospital_Multi[[State]:[State]],tbl_SGE_Hospital[[State]:[State]],0),MATCH(tbl_Hospital_Multi[[#Headers],[SGEd2022]],tbl_SGE_Hospital[#Headers],0))</f>
        <v>3.3775000000000004</v>
      </c>
      <c r="AS5" s="45">
        <f>INDEX(tbl_Conversion_Factors[[Conversion Factors]:[Conversion Factors]],MATCH(tbl_Hospital_Multi[[#Headers],[CFelec]],tbl_Conversion_Factors[[Reference]:[Reference]],0))</f>
        <v>3.6</v>
      </c>
      <c r="AT5" s="45">
        <f>INDEX(tbl_Conversion_Factors[[Conversion Factors]:[Conversion Factors]],MATCH(tbl_Hospital_Multi[[#Headers],[CFLPG]],tbl_Conversion_Factors[[Reference]:[Reference]],0))</f>
        <v>25.7</v>
      </c>
      <c r="AU5" s="45">
        <f>INDEX(tbl_Conversion_Factors[[Conversion Factors]:[Conversion Factors]],MATCH(tbl_Hospital_Multi[[#Headers],[CFdiesel]],tbl_Conversion_Factors[[Reference]:[Reference]],0))</f>
        <v>38.6</v>
      </c>
      <c r="AV5" s="45">
        <f>tbl_Hospital_Multi[[#This Row],[SGEe2022]]/tbl_Hospital_Multi[[#This Row],[CFelec]]</f>
        <v>0.15277777777777779</v>
      </c>
      <c r="AW5" s="45">
        <f>tbl_Hospital_Multi[[#This Row],[SGEL2022]]/tbl_Hospital_Multi[[#This Row],[CFLPG]]</f>
        <v>8.0799999999999997E-2</v>
      </c>
      <c r="AX5" s="45">
        <f>tbl_Hospital_Multi[[#This Row],[SGEd2022]]/tbl_Hospital_Multi[[#This Row],[CFdiesel]]</f>
        <v>8.7500000000000008E-2</v>
      </c>
      <c r="AY5" s="46">
        <f>IF(SUM(tbl_Hospital_Multi[[#This Row],[Electricity (%)]:[Diesel (%)]])=1,
SUM(tbl_Hospital_Multi[[#This Row],[Electricity (%)]]*tbl_Hospital_Multi[[#This Row],[SGEeMJ]],
tbl_Hospital_Multi[[#This Row],[Gas (%)]]*tbl_Hospital_Multi[[#This Row],[SGEg2022]],
tbl_Hospital_Multi[[#This Row],[LPG (%)]]*tbl_Hospital_Multi[[#This Row],[SGELMJ]],
tbl_Hospital_Multi[[#This Row],[Diesel (%)]]*tbl_Hospital_Multi[[#This Row],[SGEdMJ]]),0)</f>
        <v>0.12705127777777778</v>
      </c>
      <c r="AZ5" s="46">
        <f>INDEX(tbl_NGA_Factors_2022[],MATCH(tbl_Hospital_Multi[[State]:[State]],tbl_NGA_Factors_2022[[State]:[State]],0),MATCH(tbl_Hospital_Multi[[#Headers],[SGEe Scopes 1,2&amp;3]],tbl_NGA_Factors_2022[#Headers],0))</f>
        <v>0.55000000000000004</v>
      </c>
      <c r="BA5" s="46">
        <f>INDEX(tbl_NGA_Factors_2022[],MATCH(tbl_Hospital_Multi[[State]:[State]],tbl_NGA_Factors_2022[[State]:[State]],0),MATCH(tbl_Hospital_Multi[[#Headers],[SGEg Scopes 1,2&amp;3]],tbl_NGA_Factors_2022[#Headers],0))</f>
        <v>5.5629999999999999E-2</v>
      </c>
      <c r="BB5" s="46">
        <f>INDEX(tbl_NGA_Factors_2022[],MATCH(tbl_Hospital_Multi[[State]:[State]],tbl_NGA_Factors_2022[[State]:[State]],0),MATCH(tbl_Hospital_Multi[[#Headers],[SGEl Scopes 1,2&amp;3]],tbl_NGA_Factors_2022[#Headers],0))</f>
        <v>2.0765599999999997</v>
      </c>
      <c r="BC5" s="46">
        <f>INDEX(tbl_NGA_Factors_2022[],MATCH(tbl_Hospital_Multi[[State]:[State]],tbl_NGA_Factors_2022[[State]:[State]],0),MATCH(tbl_Hospital_Multi[[#Headers],[SGEd Scopes 1,2&amp;3]],tbl_NGA_Factors_2022[#Headers],0))</f>
        <v>3.3775000000000004</v>
      </c>
      <c r="BD5" s="46">
        <f>INDEX(tbl_NGA_Factors_2022[],MATCH(tbl_Hospital_Multi[[State]:[State]],tbl_NGA_Factors_2022[[State]:[State]],0),MATCH(tbl_Hospital_Multi[[#Headers],[SGEe Scopes 1&amp;2]],tbl_NGA_Factors_2022[#Headers],0))</f>
        <v>0.51</v>
      </c>
      <c r="BE5" s="46">
        <f>INDEX(tbl_NGA_Factors_2022[],MATCH(tbl_Hospital_Multi[[State]:[State]],tbl_NGA_Factors_2022[[State]:[State]],0),MATCH(tbl_Hospital_Multi[[#Headers],[SGEg Scopes 1&amp;2]],tbl_NGA_Factors_2022[#Headers],0))</f>
        <v>5.1529999999999999E-2</v>
      </c>
      <c r="BF5" s="46">
        <f>INDEX(tbl_NGA_Factors_2022[],MATCH(tbl_Hospital_Multi[[State]:[State]],tbl_NGA_Factors_2022[[State]:[State]],0),MATCH(tbl_Hospital_Multi[[#Headers],[SGEl Scopes 1&amp;2]],tbl_NGA_Factors_2022[#Headers],0))</f>
        <v>1.55742</v>
      </c>
      <c r="BG5" s="46">
        <f>INDEX(tbl_NGA_Factors_2022[],MATCH(tbl_Hospital_Multi[[State]:[State]],tbl_NGA_Factors_2022[[State]:[State]],0),MATCH(tbl_Hospital_Multi[[#Headers],[SGEd Scopes 1&amp;2]],tbl_NGA_Factors_2022[#Headers],0))</f>
        <v>2.7097199999999999</v>
      </c>
      <c r="BH5" s="169">
        <f>tbl_Hospital_Multi[[#This Row],[EmissionTL]]*tbl_Hospital_Multi[[#This Row],[Energy Cseps]]*tbl_Hospital_Multi[[#This Row],[Energy CCDD]]*tbl_Hospital_Multi[[#This Row],[Energy Cpeer]]*tbl_Hospital_Multi[[#This Row],[CState]]*tbl_Hospital_Multi[[#This Row],[CCentering]]</f>
        <v>78876.782745354576</v>
      </c>
      <c r="BI5" s="169">
        <f>tbl_Hospital_Multi[[#This Row],[Total OBD]]*INDEX(tbl_Hospital_E_TL[a],tbl_Hospital_Multi[[#This Row],[Group]])+INDEX(tbl_Hospital_E_TL[b (intercept)],tbl_Hospital_Multi[[#This Row],[Group]])</f>
        <v>235124.7</v>
      </c>
      <c r="BJ5" s="574">
        <f>Hospital_C_E_Seps_a*tbl_Hospital_Multi[[#This Row],[Seps]]/tbl_Hospital_Multi[[#This Row],[Total OBD]]+Hospital_C_E_Seps_b</f>
        <v>0.76609380315917375</v>
      </c>
      <c r="BK5" s="45">
        <f>Hospital_C_E_CDD_a*tbl_Hospital_Multi[[#This Row],[CDD]]+Hospital_C_E_CDD_b</f>
        <v>0.99577599999999999</v>
      </c>
      <c r="BL5" s="45">
        <f>IF(ISNA(MATCH(tbl_Hospital_Multi[[#This Row],[Peer Group]],tbl_Hospital_CPeer_Energy_Corrections[Minor Hospital Correction Energy],0)),1,INDEX(tbl_Hospital_CPeer_Energy_Corrections[Correction],MATCH(tbl_Hospital_Multi[[#This Row],[Peer Group]],tbl_Hospital_CPeer_Energy_Corrections[Minor Hospital Correction Energy],0)))</f>
        <v>1</v>
      </c>
      <c r="BM5" s="45">
        <f>INDEX(tbl_Hospital_CNational_Lists[],MATCH(tbl_Hospital_Multi[[State]:[State]],tbl_Hospital_CNational_Lists[[State]:[State]],0),MATCH(tbl_Hospital_Multi[[#Headers],[CNational_2016]],tbl_Hospital_CNational_Lists[#Headers],0))</f>
        <v>0.97</v>
      </c>
      <c r="BN5" s="45">
        <f>INDEX(tbl_Hospital_CNational_Lists[],MATCH(tbl_Hospital_Multi[[State]:[State]],tbl_Hospital_CNational_Lists[[State]:[State]],0),MATCH(tbl_Hospital_Multi[[#Headers],[CState]],tbl_Hospital_CNational_Lists[#Headers],0))</f>
        <v>0.78949999999999998</v>
      </c>
      <c r="BO5" s="45">
        <f>INDEX(tbl_Hospital_CNational_Lists[],MATCH(tbl_Hospital_Multi[[State]:[State]],tbl_Hospital_CNational_Lists[[State]:[State]],0),MATCH(tbl_Hospital_Multi[[#Headers],[CCentering]],tbl_Hospital_CNational_Lists[#Headers],0))</f>
        <v>0.55700000000000005</v>
      </c>
      <c r="BP5" s="47">
        <f>tbl_Hospital_Multi[[#This Row],[Water ConsumptionTL]]*tbl_Hospital_Multi[[#This Row],[Water Cseps]]*tbl_Hospital_Multi[[#This Row],[Water CCDD]]*tbl_Hospital_Multi[[#This Row],[Water Cpeer]]</f>
        <v>4416.9470766491604</v>
      </c>
      <c r="BQ5" s="36">
        <f>tbl_Hospital_Multi[[#This Row],[Total OBD]]*INDEX(tbl_Hospital_W_TL[a],tbl_Hospital_Multi[[#This Row],[Group]])+INDEX(tbl_Hospital_W_TL[b (intercept)],tbl_Hospital_Multi[[#This Row],[Group]])</f>
        <v>3057.2816000000003</v>
      </c>
      <c r="BR5" s="38">
        <f>Hospital_C_W_Seps_a*tbl_Hospital_Multi[[#This Row],[Seps]]/tbl_Hospital_Multi[[#This Row],[Total OBD]]+Hospital_C_W_Seps_b</f>
        <v>0.86158007290400973</v>
      </c>
      <c r="BS5" s="36">
        <f>Hospital_C_W_CDD_a*tbl_Hospital_Multi[[#This Row],[CDD]]+Hospital_C_W_CDD_b</f>
        <v>1.6768380000000001</v>
      </c>
      <c r="BT5" s="36">
        <f>IF(ISNA(MATCH(tbl_Hospital_Multi[[#This Row],[Peer Group]],tbl_Hospital_CPeer_Water_Corrections[Minor Hospital Correction Water],0)),1,INDEX(tbl_Hospital_CPeer_Water_Corrections[Correction],MATCH(tbl_Hospital_Multi[[#This Row],[Peer Group]],tbl_Hospital_CPeer_Water_Corrections[Minor Hospital Correction Water],0)))</f>
        <v>1</v>
      </c>
      <c r="BU5" s="296">
        <f>(tbl_Hospital_Multi[[#This Row],[Target Energy]]-7)/-3.5*100</f>
        <v>68.571428571428584</v>
      </c>
      <c r="BV5" s="44">
        <f>tbl_Hospital_Multi[[#This Row],[Predicted Emissions]]/100*(tbl_Hospital_Multi[[#This Row],[Target Max Energy BF]])</f>
        <v>54086.936739671721</v>
      </c>
      <c r="BW5" s="47">
        <f>tbl_Hospital_Multi[[#This Row],[Target Max CO2]]/tbl_Hospital_Multi[[#This Row],[Total OBD]]</f>
        <v>65.719242697049481</v>
      </c>
      <c r="BX5" s="44">
        <f>tbl_Hospital_Multi[[#This Row],[Target Max CO2]]/tbl_Hospital_Multi[[#This Row],[EffGHG]]</f>
        <v>425709.50631660578</v>
      </c>
      <c r="BY5" s="44">
        <f>tbl_Hospital_Multi[[#This Row],[Target Max Energy (MJ)]]/tbl_Hospital_Multi[[#This Row],[Total OBD]]</f>
        <v>517.26549977716377</v>
      </c>
      <c r="BZ5" s="44">
        <f>ROUNDDOWN(tbl_Hospital_Multi[[#This Row],[Target Max Energy (MJ)]]*tbl_Hospital_Multi[[#This Row],[Electricity (%)]]/tbl_Hospital_Multi[[#This Row],[CFelec]],0)</f>
        <v>86324</v>
      </c>
      <c r="CA5" s="44">
        <f>ROUNDDOWN(tbl_Hospital_Multi[[#This Row],[Target Max Energy (MJ)]]*tbl_Hospital_Multi[[#This Row],[Gas (%)]],0)</f>
        <v>106427</v>
      </c>
      <c r="CB5" s="44">
        <f>ROUNDDOWN(tbl_Hospital_Multi[[#This Row],[Target Max Energy (MJ)]]*tbl_Hospital_Multi[[#This Row],[LPG (%)]]/tbl_Hospital_Multi[[#This Row],[CFLPG]],0)</f>
        <v>331</v>
      </c>
      <c r="CC5" s="44">
        <f>ROUNDDOWN(tbl_Hospital_Multi[[#This Row],[Target Max Energy (MJ)]]*tbl_Hospital_Multi[[#This Row],[Diesel (%)]]/tbl_Hospital_Multi[[#This Row],[CFdiesel]],0)</f>
        <v>0</v>
      </c>
      <c r="CD5" s="44">
        <f>SUM(tbl_Hospital_Multi[[#This Row],[Target Max Elec (kWh)]]*tbl_Hospital_Multi[[#This Row],[SGEe Scopes 1,2&amp;3]],
tbl_Hospital_Multi[[#This Row],[Target Max Gas (MJ)]]*tbl_Hospital_Multi[[#This Row],[SGEg Scopes 1,2&amp;3]],
tbl_Hospital_Multi[[#This Row],[Target Max Diesel (L)]]*tbl_Hospital_Multi[[#This Row],[SGEd Scopes 1,2&amp;3]],
tbl_Hospital_Multi[[#This Row],[Target Max LPG (L)]]*tbl_Hospital_Multi[[#This Row],[SGEl Scopes 1,2&amp;3]])</f>
        <v>54086.075370000006</v>
      </c>
      <c r="CE5" s="44">
        <f>SUM(tbl_Hospital_Multi[[#This Row],[Target Max Elec (kWh)]]*tbl_Hospital_Multi[[#This Row],[SGEe Scopes 1&amp;2]],
tbl_Hospital_Multi[[#This Row],[Target Max Gas (MJ)]]*tbl_Hospital_Multi[[#This Row],[SGEg Scopes 1&amp;2]],
tbl_Hospital_Multi[[#This Row],[Target Max Diesel (L)]]*tbl_Hospital_Multi[[#This Row],[SGEd Scopes 1&amp;2]],
tbl_Hospital_Multi[[#This Row],[Target Max LPG (L)]]*tbl_Hospital_Multi[[#This Row],[SGEl Scopes 1&amp;2]])</f>
        <v>50024.929329999999</v>
      </c>
      <c r="CF5" s="296">
        <f>(tbl_Hospital_Multi[[#This Row],[Target Water]]-7)/(-6/159)</f>
        <v>116.60000000000001</v>
      </c>
      <c r="CG5" s="44">
        <f>ROUNDDOWN(tbl_Hospital_Multi[[#This Row],[Target Max Water BF]]/100*tbl_Hospital_Multi[[Predicted Water Consumption]:[Predicted Water Consumption]],0)</f>
        <v>5150</v>
      </c>
      <c r="CH5" s="296">
        <f>tbl_Hospital_Multi[[#This Row],[Target Max Water (kL)]]/tbl_Hospital_Multi[[#This Row],[Total OBD]]</f>
        <v>6.2575941676792226</v>
      </c>
      <c r="CI5" s="578">
        <f>(LEFT(tbl_Hospital_Multi[[#Headers],[6.0* Max BF Energy]],3)-7)/-3.5*100</f>
        <v>28.571428571428569</v>
      </c>
      <c r="CJ5" s="578">
        <f>(LEFT(tbl_Hospital_Multi[[#Headers],[5.5* Max BF Energy]],3)-7)/-3.5*100</f>
        <v>42.857142857142854</v>
      </c>
      <c r="CK5" s="578">
        <f>(LEFT(tbl_Hospital_Multi[[#Headers],[5.0* Max BF Energy]],3)-7)/-3.5*100</f>
        <v>57.142857142857139</v>
      </c>
      <c r="CL5" s="578">
        <f>(LEFT(tbl_Hospital_Multi[[#Headers],[4.5* Max BF Energy]],3)-7)/-3.5*100</f>
        <v>71.428571428571431</v>
      </c>
      <c r="CM5" s="578">
        <f>(LEFT(tbl_Hospital_Multi[[#Headers],[4.0* Max BF Energy]],3)-7)/-3.5*100</f>
        <v>85.714285714285708</v>
      </c>
      <c r="CN5" s="578">
        <f>(LEFT(tbl_Hospital_Multi[[#Headers],[3.5* Max BF Energy]],3)-7)/-3.5*100</f>
        <v>100</v>
      </c>
      <c r="CO5" s="578">
        <f>(LEFT(tbl_Hospital_Multi[[#Headers],[3.0* Max BF Energy]],3)-7)/-3.5*100</f>
        <v>114.28571428571428</v>
      </c>
      <c r="CP5" s="578">
        <f>(LEFT(tbl_Hospital_Multi[[#Headers],[2.5* Max BF Energy]],3)-7)/-3.5*100</f>
        <v>128.57142857142858</v>
      </c>
      <c r="CQ5" s="578">
        <f>(LEFT(tbl_Hospital_Multi[[#Headers],[2.0* Max BF Energy]],3)-7)/-3.5*100</f>
        <v>142.85714285714286</v>
      </c>
      <c r="CR5" s="578">
        <f>(LEFT(tbl_Hospital_Multi[[#Headers],[1.5* Max BF Energy]],3)-7)/-3.5*100</f>
        <v>157.14285714285714</v>
      </c>
      <c r="CS5" s="578">
        <f>(LEFT(tbl_Hospital_Multi[[#Headers],[1.0* Max BF Energy]],3)-7)/-3.5*100</f>
        <v>171.42857142857142</v>
      </c>
      <c r="CT5" s="578">
        <f>(LEFT(tbl_Hospital_Multi[[#Headers],[0.0* Max BF Energy]],3)-7)/-3.5*100</f>
        <v>200</v>
      </c>
      <c r="CU5" s="44">
        <f>tbl_Hospital_Multi[[Predicted Emissions]:[Predicted Emissions]]*(tbl_Hospital_Multi[[#This Row],[6.0* Max BF Energy]])/100</f>
        <v>22536.223641529879</v>
      </c>
      <c r="CV5" s="44">
        <f>tbl_Hospital_Multi[[Predicted Emissions]:[Predicted Emissions]]*(tbl_Hospital_Multi[[#This Row],[5.5* Max BF Energy]])/100</f>
        <v>33804.335462294817</v>
      </c>
      <c r="CW5" s="44">
        <f>tbl_Hospital_Multi[[Predicted Emissions]:[Predicted Emissions]]*(tbl_Hospital_Multi[[#This Row],[5.0* Max BF Energy]])/100</f>
        <v>45072.447283059759</v>
      </c>
      <c r="CX5" s="44">
        <f>tbl_Hospital_Multi[[Predicted Emissions]:[Predicted Emissions]]*(tbl_Hospital_Multi[[#This Row],[4.5* Max BF Energy]])/100</f>
        <v>56340.5591038247</v>
      </c>
      <c r="CY5" s="44">
        <f>tbl_Hospital_Multi[[Predicted Emissions]:[Predicted Emissions]]*(tbl_Hospital_Multi[[#This Row],[4.0* Max BF Energy]])/100</f>
        <v>67608.670924589635</v>
      </c>
      <c r="CZ5" s="44">
        <f>tbl_Hospital_Multi[[Predicted Emissions]:[Predicted Emissions]]*(tbl_Hospital_Multi[[#This Row],[3.5* Max BF Energy]])/100</f>
        <v>78876.782745354576</v>
      </c>
      <c r="DA5" s="44">
        <f>tbl_Hospital_Multi[[Predicted Emissions]:[Predicted Emissions]]*(tbl_Hospital_Multi[[#This Row],[3.0* Max BF Energy]])/100</f>
        <v>90144.894566119518</v>
      </c>
      <c r="DB5" s="44">
        <f>tbl_Hospital_Multi[[Predicted Emissions]:[Predicted Emissions]]*(tbl_Hospital_Multi[[#This Row],[2.5* Max BF Energy]])/100</f>
        <v>101413.00638688447</v>
      </c>
      <c r="DC5" s="44">
        <f>tbl_Hospital_Multi[[Predicted Emissions]:[Predicted Emissions]]*(tbl_Hospital_Multi[[#This Row],[2.0* Max BF Energy]])/100</f>
        <v>112681.1182076494</v>
      </c>
      <c r="DD5" s="44">
        <f>tbl_Hospital_Multi[[Predicted Emissions]:[Predicted Emissions]]*(tbl_Hospital_Multi[[#This Row],[1.5* Max BF Energy]])/100</f>
        <v>123949.23002841434</v>
      </c>
      <c r="DE5" s="44">
        <f>tbl_Hospital_Multi[[Predicted Emissions]:[Predicted Emissions]]*(tbl_Hospital_Multi[[#This Row],[1.0* Max BF Energy]])/100</f>
        <v>135217.34184917927</v>
      </c>
      <c r="DF5" s="44">
        <f>tbl_Hospital_Multi[[Predicted Emissions]:[Predicted Emissions]]*(tbl_Hospital_Multi[[#This Row],[0.0* Max BF Energy]])/100</f>
        <v>157753.56549070915</v>
      </c>
      <c r="DG5" s="44">
        <f>tbl_Hospital_Multi[[#This Row],[6.0* Max e]]/tbl_Hospital_Multi[[EffGHG]:[EffGHG]]</f>
        <v>177378.96096525236</v>
      </c>
      <c r="DH5" s="44">
        <f>tbl_Hospital_Multi[[#This Row],[5.5* Max e]]/tbl_Hospital_Multi[[EffGHG]:[EffGHG]]</f>
        <v>266068.44144787855</v>
      </c>
      <c r="DI5" s="44">
        <f>tbl_Hospital_Multi[[#This Row],[5.0* Max e]]/tbl_Hospital_Multi[[EffGHG]:[EffGHG]]</f>
        <v>354757.92193050473</v>
      </c>
      <c r="DJ5" s="44">
        <f>tbl_Hospital_Multi[[#This Row],[4.5* Max e]]/tbl_Hospital_Multi[[EffGHG]:[EffGHG]]</f>
        <v>443447.40241313091</v>
      </c>
      <c r="DK5" s="44">
        <f>tbl_Hospital_Multi[[#This Row],[4.0* Max e]]/tbl_Hospital_Multi[[EffGHG]:[EffGHG]]</f>
        <v>532136.88289575709</v>
      </c>
      <c r="DL5" s="44">
        <f>tbl_Hospital_Multi[[#This Row],[3.5* Max e]]/tbl_Hospital_Multi[[EffGHG]:[EffGHG]]</f>
        <v>620826.36337838322</v>
      </c>
      <c r="DM5" s="44">
        <f>tbl_Hospital_Multi[[#This Row],[3.0* Max e]]/tbl_Hospital_Multi[[EffGHG]:[EffGHG]]</f>
        <v>709515.84386100946</v>
      </c>
      <c r="DN5" s="44">
        <f>tbl_Hospital_Multi[[#This Row],[2.5* Max e]]/tbl_Hospital_Multi[[EffGHG]:[EffGHG]]</f>
        <v>798205.32434363582</v>
      </c>
      <c r="DO5" s="44">
        <f>tbl_Hospital_Multi[[#This Row],[2.0* Max e]]/tbl_Hospital_Multi[[EffGHG]:[EffGHG]]</f>
        <v>886894.80482626182</v>
      </c>
      <c r="DP5" s="44">
        <f>tbl_Hospital_Multi[[#This Row],[1.5* Max e]]/tbl_Hospital_Multi[[EffGHG]:[EffGHG]]</f>
        <v>975584.28530888807</v>
      </c>
      <c r="DQ5" s="44">
        <f>tbl_Hospital_Multi[[#This Row],[1.0* Max e]]/tbl_Hospital_Multi[[EffGHG]:[EffGHG]]</f>
        <v>1064273.7657915142</v>
      </c>
      <c r="DR5" s="44">
        <f>tbl_Hospital_Multi[[#This Row],[0.0* Max e]]/tbl_Hospital_Multi[[EffGHG]:[EffGHG]]</f>
        <v>1241652.7267567664</v>
      </c>
      <c r="DS5" s="44">
        <f>ROUNDDOWN(tbl_Hospital_Multi[[#This Row],[6.0* Max Energy (MJ)]]*tbl_Hospital_Multi[[Electricity (%)]:[Electricity (%)]]/tbl_Hospital_Multi[[CFelec]:[CFelec]],0)</f>
        <v>35968</v>
      </c>
      <c r="DT5" s="44">
        <f>ROUNDDOWN(tbl_Hospital_Multi[[#This Row],[5.5* Max Energy (MJ)]]*tbl_Hospital_Multi[[Electricity (%)]:[Electricity (%)]]/tbl_Hospital_Multi[[CFelec]:[CFelec]],0)</f>
        <v>53952</v>
      </c>
      <c r="DU5" s="44">
        <f>ROUNDDOWN(tbl_Hospital_Multi[[#This Row],[5.0* Max Energy (MJ)]]*tbl_Hospital_Multi[[Electricity (%)]:[Electricity (%)]]/tbl_Hospital_Multi[[CFelec]:[CFelec]],0)</f>
        <v>71937</v>
      </c>
      <c r="DV5" s="44">
        <f>ROUNDDOWN(tbl_Hospital_Multi[[#This Row],[4.5* Max Energy (MJ)]]*tbl_Hospital_Multi[[Electricity (%)]:[Electricity (%)]]/tbl_Hospital_Multi[[CFelec]:[CFelec]],0)</f>
        <v>89921</v>
      </c>
      <c r="DW5" s="44">
        <f>ROUNDDOWN(tbl_Hospital_Multi[[#This Row],[4.0* Max Energy (MJ)]]*tbl_Hospital_Multi[[Electricity (%)]:[Electricity (%)]]/tbl_Hospital_Multi[[CFelec]:[CFelec]],0)</f>
        <v>107905</v>
      </c>
      <c r="DX5" s="44">
        <f>ROUNDDOWN(tbl_Hospital_Multi[[#This Row],[3.5* Max Energy (MJ)]]*tbl_Hospital_Multi[[Electricity (%)]:[Electricity (%)]]/tbl_Hospital_Multi[[CFelec]:[CFelec]],0)</f>
        <v>125889</v>
      </c>
      <c r="DY5" s="44">
        <f>ROUNDDOWN(tbl_Hospital_Multi[[#This Row],[3.0* Max Energy (MJ)]]*tbl_Hospital_Multi[[Electricity (%)]:[Electricity (%)]]/tbl_Hospital_Multi[[CFelec]:[CFelec]],0)</f>
        <v>143874</v>
      </c>
      <c r="DZ5" s="44">
        <f>ROUNDDOWN(tbl_Hospital_Multi[[#This Row],[2.5* Max Energy (MJ)]]*tbl_Hospital_Multi[[Electricity (%)]:[Electricity (%)]]/tbl_Hospital_Multi[[CFelec]:[CFelec]],0)</f>
        <v>161858</v>
      </c>
      <c r="EA5" s="44">
        <f>ROUNDDOWN(tbl_Hospital_Multi[[#This Row],[2.0* Max Energy (MJ)]]*tbl_Hospital_Multi[[Electricity (%)]:[Electricity (%)]]/tbl_Hospital_Multi[[CFelec]:[CFelec]],0)</f>
        <v>179842</v>
      </c>
      <c r="EB5" s="44">
        <f>ROUNDDOWN(tbl_Hospital_Multi[[#This Row],[1.5* Max Energy (MJ)]]*tbl_Hospital_Multi[[Electricity (%)]:[Electricity (%)]]/tbl_Hospital_Multi[[CFelec]:[CFelec]],0)</f>
        <v>197826</v>
      </c>
      <c r="EC5" s="44">
        <f>ROUNDDOWN(tbl_Hospital_Multi[[#This Row],[1.0* Max Energy (MJ)]]*tbl_Hospital_Multi[[Electricity (%)]:[Electricity (%)]]/tbl_Hospital_Multi[[CFelec]:[CFelec]],0)</f>
        <v>215811</v>
      </c>
      <c r="ED5" s="44">
        <f>ROUNDDOWN(tbl_Hospital_Multi[[#This Row],[0.0* Max Energy (MJ)]]*tbl_Hospital_Multi[[Electricity (%)]:[Electricity (%)]]/tbl_Hospital_Multi[[CFelec]:[CFelec]],0)</f>
        <v>251779</v>
      </c>
      <c r="EE5" s="44">
        <f>ROUNDDOWN(tbl_Hospital_Multi[[#This Row],[6.0* Max Energy (MJ)]]*tbl_Hospital_Multi[[Gas (%)]:[Gas (%)]],0)</f>
        <v>44344</v>
      </c>
      <c r="EF5" s="44">
        <f>ROUNDDOWN(tbl_Hospital_Multi[[#This Row],[5.5* Max Energy (MJ)]]*tbl_Hospital_Multi[[Gas (%)]:[Gas (%)]],0)</f>
        <v>66517</v>
      </c>
      <c r="EG5" s="44">
        <f>ROUNDDOWN(tbl_Hospital_Multi[[#This Row],[5.0* Max Energy (MJ)]]*tbl_Hospital_Multi[[Gas (%)]:[Gas (%)]],0)</f>
        <v>88689</v>
      </c>
      <c r="EH5" s="44">
        <f>ROUNDDOWN(tbl_Hospital_Multi[[#This Row],[4.5* Max Energy (MJ)]]*tbl_Hospital_Multi[[Gas (%)]:[Gas (%)]],0)</f>
        <v>110861</v>
      </c>
      <c r="EI5" s="44">
        <f>ROUNDDOWN(tbl_Hospital_Multi[[#This Row],[4.0* Max Energy (MJ)]]*tbl_Hospital_Multi[[Gas (%)]:[Gas (%)]],0)</f>
        <v>133034</v>
      </c>
      <c r="EJ5" s="44">
        <f>ROUNDDOWN(tbl_Hospital_Multi[[#This Row],[3.5* Max Energy (MJ)]]*tbl_Hospital_Multi[[Gas (%)]:[Gas (%)]],0)</f>
        <v>155206</v>
      </c>
      <c r="EK5" s="44">
        <f>ROUNDDOWN(tbl_Hospital_Multi[[#This Row],[3.0* Max Energy (MJ)]]*tbl_Hospital_Multi[[Gas (%)]:[Gas (%)]],0)</f>
        <v>177378</v>
      </c>
      <c r="EL5" s="44">
        <f>ROUNDDOWN(tbl_Hospital_Multi[[#This Row],[2.5* Max Energy (MJ)]]*tbl_Hospital_Multi[[Gas (%)]:[Gas (%)]],0)</f>
        <v>199551</v>
      </c>
      <c r="EM5" s="44">
        <f>ROUNDDOWN(tbl_Hospital_Multi[[#This Row],[2.0* Max Energy (MJ)]]*tbl_Hospital_Multi[[Gas (%)]:[Gas (%)]],0)</f>
        <v>221723</v>
      </c>
      <c r="EN5" s="44">
        <f>ROUNDDOWN(tbl_Hospital_Multi[[#This Row],[1.5* Max Energy (MJ)]]*tbl_Hospital_Multi[[Gas (%)]:[Gas (%)]],0)</f>
        <v>243896</v>
      </c>
      <c r="EO5" s="44">
        <f>ROUNDDOWN(tbl_Hospital_Multi[[#This Row],[1.0* Max Energy (MJ)]]*tbl_Hospital_Multi[[Gas (%)]:[Gas (%)]],0)</f>
        <v>266068</v>
      </c>
      <c r="EP5" s="44">
        <f>ROUNDDOWN(tbl_Hospital_Multi[[#This Row],[0.0* Max Energy (MJ)]]*tbl_Hospital_Multi[[Gas (%)]:[Gas (%)]],0)</f>
        <v>310413</v>
      </c>
      <c r="EQ5" s="44">
        <f>ROUNDDOWN(tbl_Hospital_Multi[[#This Row],[6.0* Max Energy (MJ)]]*tbl_Hospital_Multi[[LPG (%)]:[LPG (%)]]/tbl_Hospital_Multi[[CFLPG]:[CFLPG]],0)</f>
        <v>138</v>
      </c>
      <c r="ER5" s="44">
        <f>ROUNDDOWN(tbl_Hospital_Multi[[#This Row],[5.5* Max Energy (MJ)]]*tbl_Hospital_Multi[[LPG (%)]:[LPG (%)]]/tbl_Hospital_Multi[[CFLPG]:[CFLPG]],0)</f>
        <v>207</v>
      </c>
      <c r="ES5" s="44">
        <f>ROUNDDOWN(tbl_Hospital_Multi[[#This Row],[5.0* Max Energy (MJ)]]*tbl_Hospital_Multi[[LPG (%)]:[LPG (%)]]/tbl_Hospital_Multi[[CFLPG]:[CFLPG]],0)</f>
        <v>276</v>
      </c>
      <c r="ET5" s="44">
        <f>ROUNDDOWN(tbl_Hospital_Multi[[#This Row],[4.5* Max Energy (MJ)]]*tbl_Hospital_Multi[[LPG (%)]:[LPG (%)]]/tbl_Hospital_Multi[[CFLPG]:[CFLPG]],0)</f>
        <v>345</v>
      </c>
      <c r="EU5" s="44">
        <f>ROUNDDOWN(tbl_Hospital_Multi[[#This Row],[4.0* Max Energy (MJ)]]*tbl_Hospital_Multi[[LPG (%)]:[LPG (%)]]/tbl_Hospital_Multi[[CFLPG]:[CFLPG]],0)</f>
        <v>414</v>
      </c>
      <c r="EV5" s="44">
        <f>ROUNDDOWN(tbl_Hospital_Multi[[#This Row],[3.5* Max Energy (MJ)]]*tbl_Hospital_Multi[[LPG (%)]:[LPG (%)]]/tbl_Hospital_Multi[[CFLPG]:[CFLPG]],0)</f>
        <v>483</v>
      </c>
      <c r="EW5" s="44">
        <f>ROUNDDOWN(tbl_Hospital_Multi[[#This Row],[3.0* Max Energy (MJ)]]*tbl_Hospital_Multi[[LPG (%)]:[LPG (%)]]/tbl_Hospital_Multi[[CFLPG]:[CFLPG]],0)</f>
        <v>552</v>
      </c>
      <c r="EX5" s="44">
        <f>ROUNDDOWN(tbl_Hospital_Multi[[#This Row],[2.5* Max Energy (MJ)]]*tbl_Hospital_Multi[[LPG (%)]:[LPG (%)]]/tbl_Hospital_Multi[[CFLPG]:[CFLPG]],0)</f>
        <v>621</v>
      </c>
      <c r="EY5" s="44">
        <f>ROUNDDOWN(tbl_Hospital_Multi[[#This Row],[2.0* Max Energy (MJ)]]*tbl_Hospital_Multi[[LPG (%)]:[LPG (%)]]/tbl_Hospital_Multi[[CFLPG]:[CFLPG]],0)</f>
        <v>690</v>
      </c>
      <c r="EZ5" s="44">
        <f>ROUNDDOWN(tbl_Hospital_Multi[[#This Row],[1.5* Max Energy (MJ)]]*tbl_Hospital_Multi[[LPG (%)]:[LPG (%)]]/tbl_Hospital_Multi[[CFLPG]:[CFLPG]],0)</f>
        <v>759</v>
      </c>
      <c r="FA5" s="44">
        <f>ROUNDDOWN(tbl_Hospital_Multi[[#This Row],[1.0* Max Energy (MJ)]]*tbl_Hospital_Multi[[LPG (%)]:[LPG (%)]]/tbl_Hospital_Multi[[CFLPG]:[CFLPG]],0)</f>
        <v>828</v>
      </c>
      <c r="FB5" s="44">
        <f>ROUNDDOWN(tbl_Hospital_Multi[[#This Row],[0.0* Max Energy (MJ)]]*tbl_Hospital_Multi[[LPG (%)]:[LPG (%)]]/tbl_Hospital_Multi[[CFLPG]:[CFLPG]],0)</f>
        <v>966</v>
      </c>
      <c r="FC5" s="44">
        <f>ROUNDDOWN(tbl_Hospital_Multi[[#This Row],[6.0* Max Energy (MJ)]]*tbl_Hospital_Multi[[Diesel (%)]:[Diesel (%)]]/tbl_Hospital_Multi[[CFdiesel]:[CFdiesel]],0)</f>
        <v>0</v>
      </c>
      <c r="FD5" s="44">
        <f>ROUNDDOWN(tbl_Hospital_Multi[[#This Row],[5.5* Max Energy (MJ)]]*tbl_Hospital_Multi[[Diesel (%)]:[Diesel (%)]]/tbl_Hospital_Multi[[CFdiesel]:[CFdiesel]],0)</f>
        <v>0</v>
      </c>
      <c r="FE5" s="44">
        <f>ROUNDDOWN(tbl_Hospital_Multi[[#This Row],[5.0* Max Energy (MJ)]]*tbl_Hospital_Multi[[Diesel (%)]:[Diesel (%)]]/tbl_Hospital_Multi[[CFdiesel]:[CFdiesel]],0)</f>
        <v>0</v>
      </c>
      <c r="FF5" s="44">
        <f>ROUNDDOWN(tbl_Hospital_Multi[[#This Row],[4.5* Max Energy (MJ)]]*tbl_Hospital_Multi[[Diesel (%)]:[Diesel (%)]]/tbl_Hospital_Multi[[CFdiesel]:[CFdiesel]],0)</f>
        <v>0</v>
      </c>
      <c r="FG5" s="44">
        <f>ROUNDDOWN(tbl_Hospital_Multi[[#This Row],[4.0* Max Energy (MJ)]]*tbl_Hospital_Multi[[Diesel (%)]:[Diesel (%)]]/tbl_Hospital_Multi[[CFdiesel]:[CFdiesel]],0)</f>
        <v>0</v>
      </c>
      <c r="FH5" s="44">
        <f>ROUNDDOWN(tbl_Hospital_Multi[[#This Row],[3.5* Max Energy (MJ)]]*tbl_Hospital_Multi[[Diesel (%)]:[Diesel (%)]]/tbl_Hospital_Multi[[CFdiesel]:[CFdiesel]],0)</f>
        <v>0</v>
      </c>
      <c r="FI5" s="44">
        <f>ROUNDDOWN(tbl_Hospital_Multi[[#This Row],[3.0* Max Energy (MJ)]]*tbl_Hospital_Multi[[Diesel (%)]:[Diesel (%)]]/tbl_Hospital_Multi[[CFdiesel]:[CFdiesel]],0)</f>
        <v>0</v>
      </c>
      <c r="FJ5" s="44">
        <f>ROUNDDOWN(tbl_Hospital_Multi[[#This Row],[2.5* Max Energy (MJ)]]*tbl_Hospital_Multi[[Diesel (%)]:[Diesel (%)]]/tbl_Hospital_Multi[[CFdiesel]:[CFdiesel]],0)</f>
        <v>0</v>
      </c>
      <c r="FK5" s="44">
        <f>ROUNDDOWN(tbl_Hospital_Multi[[#This Row],[2.0* Max Energy (MJ)]]*tbl_Hospital_Multi[[Diesel (%)]:[Diesel (%)]]/tbl_Hospital_Multi[[CFdiesel]:[CFdiesel]],0)</f>
        <v>0</v>
      </c>
      <c r="FL5" s="44">
        <f>ROUNDDOWN(tbl_Hospital_Multi[[#This Row],[1.5* Max Energy (MJ)]]*tbl_Hospital_Multi[[Diesel (%)]:[Diesel (%)]]/tbl_Hospital_Multi[[CFdiesel]:[CFdiesel]],0)</f>
        <v>0</v>
      </c>
      <c r="FM5" s="44">
        <f>ROUNDDOWN(tbl_Hospital_Multi[[#This Row],[1.0* Max Energy (MJ)]]*tbl_Hospital_Multi[[Diesel (%)]:[Diesel (%)]]/tbl_Hospital_Multi[[CFdiesel]:[CFdiesel]],0)</f>
        <v>0</v>
      </c>
      <c r="FN5" s="44">
        <f>ROUNDDOWN(tbl_Hospital_Multi[[#This Row],[0.0* Max Energy (MJ)]]*tbl_Hospital_Multi[[Diesel (%)]:[Diesel (%)]]/tbl_Hospital_Multi[[CFdiesel]:[CFdiesel]],0)</f>
        <v>0</v>
      </c>
      <c r="FO5" s="44">
        <f>(LEFT(tbl_Hospital_Multi[[#Headers],[6.0* Max BF Water]],3)-7)/(-6/159)</f>
        <v>26.5</v>
      </c>
      <c r="FP5" s="44">
        <f>(LEFT(tbl_Hospital_Multi[[#Headers],[5.5* Max BF Water]],3)-7)/(-6/159)</f>
        <v>39.75</v>
      </c>
      <c r="FQ5" s="44">
        <f>(LEFT(tbl_Hospital_Multi[[#Headers],[5.0* Max BF Water]],3)-7)/(-6/159)</f>
        <v>53</v>
      </c>
      <c r="FR5" s="44">
        <f>(LEFT(tbl_Hospital_Multi[[#Headers],[4.5* Max BF Water]],3)-7)/(-6/159)</f>
        <v>66.25</v>
      </c>
      <c r="FS5" s="44">
        <f>(LEFT(tbl_Hospital_Multi[[#Headers],[4.0* Max BF Water]],3)-7)/(-6/159)</f>
        <v>79.5</v>
      </c>
      <c r="FT5" s="44">
        <f>(LEFT(tbl_Hospital_Multi[[#Headers],[3.5* Max BF Water]],3)-7)/(-6/159)</f>
        <v>92.75</v>
      </c>
      <c r="FU5" s="44">
        <f>(LEFT(tbl_Hospital_Multi[[#Headers],[3.0* Max BF Water]],3)-7)/(-6/159)</f>
        <v>106</v>
      </c>
      <c r="FV5" s="44">
        <f>(LEFT(tbl_Hospital_Multi[[#Headers],[2.5* Max BF Water]],3)-7)/(-6/159)</f>
        <v>119.25</v>
      </c>
      <c r="FW5" s="44">
        <f>(LEFT(tbl_Hospital_Multi[[#Headers],[2.0* Max BF  Water]],3)-7)/(-6/159)</f>
        <v>132.5</v>
      </c>
      <c r="FX5" s="44">
        <f>(LEFT(tbl_Hospital_Multi[[#Headers],[1.5* Max BF  Water]],3)-7)/(-6/159)</f>
        <v>145.75</v>
      </c>
      <c r="FY5" s="44">
        <f>(LEFT(tbl_Hospital_Multi[[#Headers],[1.0* Max BF  Water]],3)-7)/(-6/159)</f>
        <v>159</v>
      </c>
      <c r="FZ5" s="44">
        <f>(LEFT(tbl_Hospital_Multi[[#Headers],[0.0* Max BF  Water]],3)-7)/(-6/159)</f>
        <v>185.5</v>
      </c>
      <c r="GA5" s="44">
        <f>tbl_Hospital_Multi[[#This Row],[6.0* Max BF Water]]*tbl_Hospital_Multi[[Predicted Water Consumption]:[Predicted Water Consumption]]/100</f>
        <v>1170.4909753120273</v>
      </c>
      <c r="GB5" s="44">
        <f>tbl_Hospital_Multi[[#This Row],[5.5* Max BF Water]]*tbl_Hospital_Multi[[Predicted Water Consumption]:[Predicted Water Consumption]]/100</f>
        <v>1755.7364629680412</v>
      </c>
      <c r="GC5" s="44">
        <f>tbl_Hospital_Multi[[#This Row],[5.0* Max BF Water]]*tbl_Hospital_Multi[[Predicted Water Consumption]:[Predicted Water Consumption]]/100</f>
        <v>2340.9819506240547</v>
      </c>
      <c r="GD5" s="44">
        <f>tbl_Hospital_Multi[[#This Row],[4.5* Max BF Water]]*tbl_Hospital_Multi[[Predicted Water Consumption]:[Predicted Water Consumption]]/100</f>
        <v>2926.2274382800692</v>
      </c>
      <c r="GE5" s="44">
        <f>tbl_Hospital_Multi[[#This Row],[4.0* Max BF Water]]*tbl_Hospital_Multi[[Predicted Water Consumption]:[Predicted Water Consumption]]/100</f>
        <v>3511.4729259360824</v>
      </c>
      <c r="GF5" s="44">
        <f>tbl_Hospital_Multi[[#This Row],[3.5* Max BF Water]]*tbl_Hospital_Multi[[Predicted Water Consumption]:[Predicted Water Consumption]]/100</f>
        <v>4096.7184135920961</v>
      </c>
      <c r="GG5" s="44">
        <f>tbl_Hospital_Multi[[#This Row],[3.0* Max BF Water]]*tbl_Hospital_Multi[[Predicted Water Consumption]:[Predicted Water Consumption]]/100</f>
        <v>4681.9639012481093</v>
      </c>
      <c r="GH5" s="44">
        <f>tbl_Hospital_Multi[[#This Row],[2.5* Max BF Water]]*tbl_Hospital_Multi[[Predicted Water Consumption]:[Predicted Water Consumption]]/100</f>
        <v>5267.2093889041234</v>
      </c>
      <c r="GI5" s="44">
        <f>tbl_Hospital_Multi[[#This Row],[2.0* Max BF  Water]]*tbl_Hospital_Multi[[Predicted Water Consumption]:[Predicted Water Consumption]]/100</f>
        <v>5852.4548765601385</v>
      </c>
      <c r="GJ5" s="44">
        <f>tbl_Hospital_Multi[[#This Row],[1.5* Max BF  Water]]*tbl_Hospital_Multi[[Predicted Water Consumption]:[Predicted Water Consumption]]/100</f>
        <v>6437.7003642161517</v>
      </c>
      <c r="GK5" s="44">
        <f>tbl_Hospital_Multi[[#This Row],[1.0* Max BF  Water]]*tbl_Hospital_Multi[[Predicted Water Consumption]:[Predicted Water Consumption]]/100</f>
        <v>7022.9458518721649</v>
      </c>
      <c r="GL5" s="44">
        <f>tbl_Hospital_Multi[[#This Row],[0.0* Max BF  Water]]*tbl_Hospital_Multi[[Predicted Water Consumption]:[Predicted Water Consumption]]/100</f>
        <v>8193.4368271841922</v>
      </c>
      <c r="GM5" s="44">
        <f>SUM(tbl_Hospital_Multi[[#This Row],[Electricity]]*(1-tbl_Hospital_Multi[[#This Row],[GP]])*tbl_Hospital_Multi[[#This Row],[SGEe Scopes 1,2&amp;3]],
tbl_Hospital_Multi[[#This Row],[Gas]]*tbl_Hospital_Multi[[#This Row],[SGEg Scopes 1,2&amp;3]],
tbl_Hospital_Multi[[#This Row],[Diesel]]*tbl_Hospital_Multi[[#This Row],[SGEd Scopes 1,2&amp;3]])</f>
        <v>652883.27809000004</v>
      </c>
      <c r="GN5" s="44">
        <f>SUM(tbl_Hospital_Multi[[#This Row],[Electricity]]*(1-tbl_Hospital_Multi[[#This Row],[GP]])*tbl_Hospital_Multi[[#This Row],[SGEe Scopes 1&amp;2]],
tbl_Hospital_Multi[[#This Row],[Gas]]*tbl_Hospital_Multi[[#This Row],[SGEg Scopes 1&amp;2]],
tbl_Hospital_Multi[[#This Row],[Diesel]]*tbl_Hospital_Multi[[#This Row],[SGEd Scopes 1&amp;2]])</f>
        <v>601876.20124999993</v>
      </c>
      <c r="GO5" s="45">
        <f>IF(tbl_Hospital_Multi[[#This Row],[Energy Star Decimal (with GP)]]&lt;1,0,MIN(ROUNDDOWN(tbl_Hospital_Multi[[#This Row],[Energy Star Decimal (with GP)]]*2,0)/2,6))</f>
        <v>0</v>
      </c>
      <c r="GP5" s="45">
        <f>((tbl_Hospital_Multi[[#This Row],[e-BF (with GP)]]*(-3.5/100)+7)*2)/2</f>
        <v>-22.70689467849779</v>
      </c>
      <c r="GQ5" s="45">
        <f>IF(tbl_Hospital_Multi[[#This Row],[Energy Star Decimal (no GP)]]&lt;1,0,MIN(ROUNDDOWN(tbl_Hospital_Multi[[#This Row],[Energy Star Decimal (no GP)]]*2,0)/2,6))</f>
        <v>0</v>
      </c>
      <c r="GR5" s="45">
        <f>((tbl_Hospital_Multi[[#This Row],[e-BF (no GP)]]*(-3.5/100)+7)*2)/2</f>
        <v>-22.70689467849779</v>
      </c>
      <c r="GS5" s="45">
        <f>SUM(tbl_Hospital_Multi[[#This Row],[Electricity]]*(1-tbl_Hospital_Multi[[#This Row],[GP]])*tbl_Hospital_Multi[[#This Row],[SGEe2022]],
tbl_Hospital_Multi[[#This Row],[Gas]]*tbl_Hospital_Multi[[#This Row],[SGEg2022]],
tbl_Hospital_Multi[[#This Row],[LPG]]*tbl_Hospital_Multi[[#This Row],[SGEL2022]],
tbl_Hospital_Multi[[#This Row],[Diesel]]*tbl_Hospital_Multi[[#This Row],[SGEd2022]])
/tbl_Hospital_Multi[[#This Row],[Predicted Emissions]]*100</f>
        <v>848.7684193856511</v>
      </c>
      <c r="GT5" s="45">
        <f>SUM(tbl_Hospital_Multi[[#This Row],[Electricity]]*tbl_Hospital_Multi[[#This Row],[SGEe2022]],
tbl_Hospital_Multi[[#This Row],[Gas]]*tbl_Hospital_Multi[[#This Row],[SGEg2022]],
tbl_Hospital_Multi[[#This Row],[LPG]]*tbl_Hospital_Multi[[#This Row],[SGEL2022]],
tbl_Hospital_Multi[[#This Row],[Diesel]]*tbl_Hospital_Multi[[#This Row],[SGEd2022]])
/tbl_Hospital_Multi[[#This Row],[Predicted Emissions]]*100</f>
        <v>848.7684193856511</v>
      </c>
      <c r="GU5" s="45">
        <f>IF(tbl_Hospital_Multi[[#This Row],[Water Star Decimal (with recyc)]]&lt;1,0,MIN(ROUNDDOWN(tbl_Hospital_Multi[[#This Row],[Water Star Decimal (with recyc)]]*2,0)/2,6))</f>
        <v>0</v>
      </c>
      <c r="GV5" s="45">
        <f>((tbl_Hospital_Multi[[#This Row],[w-BF (with recyc)]]*(-6/159)+7)*2)/2</f>
        <v>-13.300028365161747</v>
      </c>
      <c r="GW5" s="45">
        <f>IF(tbl_Hospital_Multi[[#This Row],[Water Star Decimal (no recyc)]]&lt;1,0,MIN(ROUNDDOWN(tbl_Hospital_Multi[[#This Row],[Water Star Decimal (no recyc)]]*2,0)/2,6))</f>
        <v>0</v>
      </c>
      <c r="GX5" s="45">
        <f>((tbl_Hospital_Multi[[#This Row],[w-BF (no recyc)]]*(-6/159)+7)*2)/2</f>
        <v>-13.300028365161747</v>
      </c>
      <c r="GY5" s="36">
        <f>tbl_Hospital_Multi[[#This Row],[water]]*(1-tbl_Hospital_Multi[[#This Row],[RW]])/tbl_Hospital_Multi[[#This Row],[Predicted Water Consumption]]*100</f>
        <v>537.95075167678635</v>
      </c>
      <c r="GZ5" s="36">
        <f>tbl_Hospital_Multi[[#This Row],[water]]/tbl_Hospital_Multi[[#This Row],[Predicted Water Consumption]]*100</f>
        <v>537.95075167678635</v>
      </c>
      <c r="HA5" s="36"/>
      <c r="HB5" s="36"/>
      <c r="HC5" s="36"/>
      <c r="HD5" s="36"/>
    </row>
    <row r="6" spans="1:212" ht="16.5" customHeight="1">
      <c r="A6" s="484">
        <v>5</v>
      </c>
      <c r="B6" s="484">
        <v>5.6</v>
      </c>
      <c r="C6" s="485">
        <v>1001</v>
      </c>
      <c r="D6" s="485" t="s">
        <v>1414</v>
      </c>
      <c r="E6" s="486">
        <v>25200</v>
      </c>
      <c r="F6" s="486">
        <v>649</v>
      </c>
      <c r="G6" s="486">
        <v>0</v>
      </c>
      <c r="H6" s="486">
        <v>5448</v>
      </c>
      <c r="I6" s="487">
        <v>1</v>
      </c>
      <c r="J6" s="487">
        <v>0</v>
      </c>
      <c r="K6" s="487">
        <v>0</v>
      </c>
      <c r="L6" s="487">
        <v>0</v>
      </c>
      <c r="M6" s="126">
        <f>tbl_Hospital_Multi[[#This Row],[Target Max Energy BF]]</f>
        <v>57.142857142857139</v>
      </c>
      <c r="N6" s="42">
        <f>IF(tbl_Hospital_Multi[[#This Row],[CCentering]]="NA","NA for "&amp;tbl_Hospital_Multi[[#This Row],[State]],tbl_Hospital_Multi[[#This Row],[Predicted Emissions]])</f>
        <v>1450206.9043421899</v>
      </c>
      <c r="O6" s="42">
        <f>IF(tbl_Hospital_Multi[[#This Row],[CCentering]]="NA","NA for "&amp;tbl_Hospital_Multi[[#This Row],[State]],tbl_Hospital_Multi[[#This Row],[Target Max CO2]])</f>
        <v>828689.65962410846</v>
      </c>
      <c r="P6" s="378">
        <f>IF(tbl_Hospital_Multi[[#This Row],[CCentering]]="NA","NA for "&amp;tbl_Hospital_Multi[[#This Row],[State]],tbl_Hospital_Multi[[#This Row],[Target Max CO2 Intensity]])</f>
        <v>27.038947390502102</v>
      </c>
      <c r="Q6" s="378">
        <f>IF(tbl_Hospital_Multi[[#This Row],[CCentering]]="NA","NA for "&amp;tbl_Hospital_Multi[[#This Row],[State]],tbl_Hospital_Multi[[#This Row],[Target Max Energy Intensity]])</f>
        <v>123.21545646304756</v>
      </c>
      <c r="R6" s="42">
        <f>IF(tbl_Hospital_Multi[[#This Row],[CCentering]]="NA","NA for "&amp;tbl_Hospital_Multi[[#This Row],[State]],tbl_Hospital_Multi[[#This Row],[Target Scopes 1,2&amp;3]])</f>
        <v>828689.46000000008</v>
      </c>
      <c r="S6" s="42">
        <f>IF(tbl_Hospital_Multi[[#This Row],[CCentering]]="NA","NA for "&amp;tbl_Hospital_Multi[[#This Row],[State]],tbl_Hospital_Multi[[#This Row],[Target Scopes 1&amp;2]])</f>
        <v>765751.02</v>
      </c>
      <c r="T6" s="42">
        <f>IF(tbl_Hospital_Multi[[#This Row],[CCentering]]="NA","NA for "&amp;tbl_Hospital_Multi[[#This Row],[State]],tbl_Hospital_Multi[[#This Row],[Target Max Elec (kWh)]])</f>
        <v>1048974</v>
      </c>
      <c r="U6" s="42">
        <f>IF(tbl_Hospital_Multi[[#This Row],[CCentering]]="NA","NA for "&amp;tbl_Hospital_Multi[[#This Row],[State]],tbl_Hospital_Multi[[#This Row],[Target Max Gas (MJ)]])</f>
        <v>0</v>
      </c>
      <c r="V6" s="42">
        <f>IF(tbl_Hospital_Multi[[#This Row],[CCentering]]="NA","NA for "&amp;tbl_Hospital_Multi[[#This Row],[State]],tbl_Hospital_Multi[[#This Row],[Target Max LPG (L)]])</f>
        <v>0</v>
      </c>
      <c r="W6" s="42">
        <f>IF(tbl_Hospital_Multi[[#This Row],[CCentering]]="NA","NA for "&amp;tbl_Hospital_Multi[[#This Row],[State]],tbl_Hospital_Multi[[#This Row],[Target Max Diesel (L)]])</f>
        <v>0</v>
      </c>
      <c r="X6" s="126">
        <f>tbl_Hospital_Multi[[#This Row],[Target Max Water BF]]</f>
        <v>37.100000000000009</v>
      </c>
      <c r="Y6" s="42">
        <f>IF(tbl_Hospital_Multi[[#This Row],[CCentering]]="NA","NA for "&amp;tbl_Hospital_Multi[[#This Row],[State]],tbl_Hospital_Multi[[#This Row],[Predicted Water Consumption]])</f>
        <v>13993.269464605059</v>
      </c>
      <c r="Z6" s="42">
        <f>IF(tbl_Hospital_Multi[[#This Row],[CCentering]]="NA","NA for "&amp;tbl_Hospital_Multi[[#This Row],[State]],tbl_Hospital_Multi[[#This Row],[Target Max Water (kL)]])</f>
        <v>5191</v>
      </c>
      <c r="AA6" s="126">
        <f>IF(tbl_Hospital_Multi[[#This Row],[CCentering]]="NA","NA for "&amp;tbl_Hospital_Multi[[#This Row],[State]],tbl_Hospital_Multi[[#This Row],[Target Max Water Inensity]])</f>
        <v>0.16937483685721744</v>
      </c>
      <c r="AB6" s="285">
        <v>416979</v>
      </c>
      <c r="AC6" s="285">
        <v>1351012</v>
      </c>
      <c r="AD6" s="285">
        <v>3888</v>
      </c>
      <c r="AE6" s="285">
        <v>3888</v>
      </c>
      <c r="AF6" s="43">
        <v>0</v>
      </c>
      <c r="AG6" s="285">
        <v>23761</v>
      </c>
      <c r="AH6" s="43">
        <v>0</v>
      </c>
      <c r="AI6" s="45" t="str">
        <f>INDEX(tbl_Climate_Lookup[],MATCH(tbl_Hospital_Multi[[Postcode]:[Postcode]],tbl_Climate_Lookup[[Postcode]:[Postcode]],0),MATCH(tbl_Hospital_Multi[[#Headers],[State]],tbl_Climate_Lookup[#Headers],0))</f>
        <v>NSW</v>
      </c>
      <c r="AJ6" s="45">
        <f>INDEX(tbl_Climate_Lookup[],MATCH(tbl_Hospital_Multi[[Postcode]:[Postcode]],tbl_Climate_Lookup[[Postcode]:[Postcode]],0),MATCH(tbl_Hospital_Multi[[#Headers],[Climate zone]],tbl_Climate_Lookup[#Headers],0))</f>
        <v>63</v>
      </c>
      <c r="AK6" s="169">
        <f>INDEX(tbl_Climate_Lookup[],MATCH(tbl_Hospital_Multi[[Postcode]:[Postcode]],tbl_Climate_Lookup[[Postcode]:[Postcode]],0),MATCH(tbl_Hospital_Multi[[#Headers],[HDD]],tbl_Climate_Lookup[#Headers],0))</f>
        <v>642</v>
      </c>
      <c r="AL6" s="169">
        <f>INDEX(tbl_Climate_Lookup[],MATCH(tbl_Hospital_Multi[[Postcode]:[Postcode]],tbl_Climate_Lookup[[Postcode]:[Postcode]],0),MATCH(tbl_Hospital_Multi[[#Headers],[CDD]],tbl_Climate_Lookup[#Headers],0))</f>
        <v>541</v>
      </c>
      <c r="AM6" s="169">
        <f>IF(tbl_Hospital_Multi[[#This Row],[CFACBDays]]&gt;0,tbl_Hospital_Multi[[#This Row],[OBD]]+tbl_Hospital_Multi[[#This Row],[CFACBDays]],tbl_Hospital_Multi[[#This Row],[OBD]]+300*tbl_Hospital_Multi[[#This Row],[CFACB]])</f>
        <v>30648</v>
      </c>
      <c r="AN6" s="169">
        <f>IF(tbl_Hospital_Multi[[#This Row],[Total OBD]]&lt;=20000,1,IF(tbl_Hospital_Multi[[#This Row],[Total OBD]]&gt;150000,3,2))</f>
        <v>2</v>
      </c>
      <c r="AO6" s="45">
        <f>INDEX(tbl_SGE_Hospital[],MATCH(tbl_Hospital_Multi[[State]:[State]],tbl_SGE_Hospital[[State]:[State]],0),MATCH(tbl_Hospital_Multi[[#Headers],[SGEe2022]],tbl_SGE_Hospital[#Headers],0))</f>
        <v>0.79</v>
      </c>
      <c r="AP6" s="45">
        <f>INDEX(tbl_SGE_Hospital[],MATCH(tbl_Hospital_Multi[[State]:[State]],tbl_SGE_Hospital[[State]:[State]],0),MATCH(tbl_Hospital_Multi[[#Headers],[SGEg2022]],tbl_SGE_Hospital[#Headers],0))</f>
        <v>6.4630000000000007E-2</v>
      </c>
      <c r="AQ6" s="45">
        <f>INDEX(tbl_SGE_Hospital[],MATCH(tbl_Hospital_Multi[[State]:[State]],tbl_SGE_Hospital[[State]:[State]],0),MATCH(tbl_Hospital_Multi[[#Headers],[SGEL2022]],tbl_SGE_Hospital[#Headers],0))</f>
        <v>2.0765599999999997</v>
      </c>
      <c r="AR6" s="45">
        <f>INDEX(tbl_SGE_Hospital[],MATCH(tbl_Hospital_Multi[[State]:[State]],tbl_SGE_Hospital[[State]:[State]],0),MATCH(tbl_Hospital_Multi[[#Headers],[SGEd2022]],tbl_SGE_Hospital[#Headers],0))</f>
        <v>3.3775000000000004</v>
      </c>
      <c r="AS6" s="45">
        <f>INDEX(tbl_Conversion_Factors[[Conversion Factors]:[Conversion Factors]],MATCH(tbl_Hospital_Multi[[#Headers],[CFelec]],tbl_Conversion_Factors[[Reference]:[Reference]],0))</f>
        <v>3.6</v>
      </c>
      <c r="AT6" s="45">
        <f>INDEX(tbl_Conversion_Factors[[Conversion Factors]:[Conversion Factors]],MATCH(tbl_Hospital_Multi[[#Headers],[CFLPG]],tbl_Conversion_Factors[[Reference]:[Reference]],0))</f>
        <v>25.7</v>
      </c>
      <c r="AU6" s="45">
        <f>INDEX(tbl_Conversion_Factors[[Conversion Factors]:[Conversion Factors]],MATCH(tbl_Hospital_Multi[[#Headers],[CFdiesel]],tbl_Conversion_Factors[[Reference]:[Reference]],0))</f>
        <v>38.6</v>
      </c>
      <c r="AV6" s="45">
        <f>tbl_Hospital_Multi[[#This Row],[SGEe2022]]/tbl_Hospital_Multi[[#This Row],[CFelec]]</f>
        <v>0.21944444444444444</v>
      </c>
      <c r="AW6" s="45">
        <f>tbl_Hospital_Multi[[#This Row],[SGEL2022]]/tbl_Hospital_Multi[[#This Row],[CFLPG]]</f>
        <v>8.0799999999999997E-2</v>
      </c>
      <c r="AX6" s="45">
        <f>tbl_Hospital_Multi[[#This Row],[SGEd2022]]/tbl_Hospital_Multi[[#This Row],[CFdiesel]]</f>
        <v>8.7500000000000008E-2</v>
      </c>
      <c r="AY6" s="46">
        <f>IF(SUM(tbl_Hospital_Multi[[#This Row],[Electricity (%)]:[Diesel (%)]])=1,
SUM(tbl_Hospital_Multi[[#This Row],[Electricity (%)]]*tbl_Hospital_Multi[[#This Row],[SGEeMJ]],
tbl_Hospital_Multi[[#This Row],[Gas (%)]]*tbl_Hospital_Multi[[#This Row],[SGEg2022]],
tbl_Hospital_Multi[[#This Row],[LPG (%)]]*tbl_Hospital_Multi[[#This Row],[SGELMJ]],
tbl_Hospital_Multi[[#This Row],[Diesel (%)]]*tbl_Hospital_Multi[[#This Row],[SGEdMJ]]),0)</f>
        <v>0.21944444444444444</v>
      </c>
      <c r="AZ6" s="46">
        <f>INDEX(tbl_NGA_Factors_2022[],MATCH(tbl_Hospital_Multi[[State]:[State]],tbl_NGA_Factors_2022[[State]:[State]],0),MATCH(tbl_Hospital_Multi[[#Headers],[SGEe Scopes 1,2&amp;3]],tbl_NGA_Factors_2022[#Headers],0))</f>
        <v>0.79</v>
      </c>
      <c r="BA6" s="46">
        <f>INDEX(tbl_NGA_Factors_2022[],MATCH(tbl_Hospital_Multi[[State]:[State]],tbl_NGA_Factors_2022[[State]:[State]],0),MATCH(tbl_Hospital_Multi[[#Headers],[SGEg Scopes 1,2&amp;3]],tbl_NGA_Factors_2022[#Headers],0))</f>
        <v>6.4630000000000007E-2</v>
      </c>
      <c r="BB6" s="46">
        <f>INDEX(tbl_NGA_Factors_2022[],MATCH(tbl_Hospital_Multi[[State]:[State]],tbl_NGA_Factors_2022[[State]:[State]],0),MATCH(tbl_Hospital_Multi[[#Headers],[SGEl Scopes 1,2&amp;3]],tbl_NGA_Factors_2022[#Headers],0))</f>
        <v>2.0765599999999997</v>
      </c>
      <c r="BC6" s="46">
        <f>INDEX(tbl_NGA_Factors_2022[],MATCH(tbl_Hospital_Multi[[State]:[State]],tbl_NGA_Factors_2022[[State]:[State]],0),MATCH(tbl_Hospital_Multi[[#Headers],[SGEd Scopes 1,2&amp;3]],tbl_NGA_Factors_2022[#Headers],0))</f>
        <v>3.3775000000000004</v>
      </c>
      <c r="BD6" s="46">
        <f>INDEX(tbl_NGA_Factors_2022[],MATCH(tbl_Hospital_Multi[[State]:[State]],tbl_NGA_Factors_2022[[State]:[State]],0),MATCH(tbl_Hospital_Multi[[#Headers],[SGEe Scopes 1&amp;2]],tbl_NGA_Factors_2022[#Headers],0))</f>
        <v>0.73</v>
      </c>
      <c r="BE6" s="46">
        <f>INDEX(tbl_NGA_Factors_2022[],MATCH(tbl_Hospital_Multi[[State]:[State]],tbl_NGA_Factors_2022[[State]:[State]],0),MATCH(tbl_Hospital_Multi[[#Headers],[SGEg Scopes 1&amp;2]],tbl_NGA_Factors_2022[#Headers],0))</f>
        <v>5.1529999999999999E-2</v>
      </c>
      <c r="BF6" s="46">
        <f>INDEX(tbl_NGA_Factors_2022[],MATCH(tbl_Hospital_Multi[[State]:[State]],tbl_NGA_Factors_2022[[State]:[State]],0),MATCH(tbl_Hospital_Multi[[#Headers],[SGEl Scopes 1&amp;2]],tbl_NGA_Factors_2022[#Headers],0))</f>
        <v>1.55742</v>
      </c>
      <c r="BG6" s="46">
        <f>INDEX(tbl_NGA_Factors_2022[],MATCH(tbl_Hospital_Multi[[State]:[State]],tbl_NGA_Factors_2022[[State]:[State]],0),MATCH(tbl_Hospital_Multi[[#Headers],[SGEd Scopes 1&amp;2]],tbl_NGA_Factors_2022[#Headers],0))</f>
        <v>2.7097199999999999</v>
      </c>
      <c r="BH6" s="169">
        <f>tbl_Hospital_Multi[[#This Row],[EmissionTL]]*tbl_Hospital_Multi[[#This Row],[Energy Cseps]]*tbl_Hospital_Multi[[#This Row],[Energy CCDD]]*tbl_Hospital_Multi[[#This Row],[Energy Cpeer]]*tbl_Hospital_Multi[[#This Row],[CState]]*tbl_Hospital_Multi[[#This Row],[CCentering]]</f>
        <v>1450206.9043421899</v>
      </c>
      <c r="BI6" s="169">
        <f>tbl_Hospital_Multi[[#This Row],[Total OBD]]*INDEX(tbl_Hospital_E_TL[a],tbl_Hospital_Multi[[#This Row],[Group]])+INDEX(tbl_Hospital_E_TL[b (intercept)],tbl_Hospital_Multi[[#This Row],[Group]])</f>
        <v>4004804.6</v>
      </c>
      <c r="BJ6" s="574">
        <f>Hospital_C_E_Seps_a*tbl_Hospital_Multi[[#This Row],[Seps]]/tbl_Hospital_Multi[[#This Row],[Total OBD]]+Hospital_C_E_Seps_b</f>
        <v>0.47687858587836074</v>
      </c>
      <c r="BK6" s="45">
        <f>Hospital_C_E_CDD_a*tbl_Hospital_Multi[[#This Row],[CDD]]+Hospital_C_E_CDD_b</f>
        <v>0.97955100000000006</v>
      </c>
      <c r="BL6" s="45">
        <f>IF(ISNA(MATCH(tbl_Hospital_Multi[[#This Row],[Peer Group]],tbl_Hospital_CPeer_Energy_Corrections[Minor Hospital Correction Energy],0)),1,INDEX(tbl_Hospital_CPeer_Energy_Corrections[Correction],MATCH(tbl_Hospital_Multi[[#This Row],[Peer Group]],tbl_Hospital_CPeer_Energy_Corrections[Minor Hospital Correction Energy],0)))</f>
        <v>1</v>
      </c>
      <c r="BM6" s="45">
        <f>INDEX(tbl_Hospital_CNational_Lists[],MATCH(tbl_Hospital_Multi[[State]:[State]],tbl_Hospital_CNational_Lists[[State]:[State]],0),MATCH(tbl_Hospital_Multi[[#Headers],[CNational_2016]],tbl_Hospital_CNational_Lists[#Headers],0))</f>
        <v>1.004</v>
      </c>
      <c r="BN6" s="45">
        <f>INDEX(tbl_Hospital_CNational_Lists[],MATCH(tbl_Hospital_Multi[[State]:[State]],tbl_Hospital_CNational_Lists[[State]:[State]],0),MATCH(tbl_Hospital_Multi[[#Headers],[CState]],tbl_Hospital_CNational_Lists[#Headers],0))</f>
        <v>1</v>
      </c>
      <c r="BO6" s="45">
        <f>INDEX(tbl_Hospital_CNational_Lists[],MATCH(tbl_Hospital_Multi[[State]:[State]],tbl_Hospital_CNational_Lists[[State]:[State]],0),MATCH(tbl_Hospital_Multi[[#Headers],[CCentering]],tbl_Hospital_CNational_Lists[#Headers],0))</f>
        <v>0.7752</v>
      </c>
      <c r="BP6" s="47">
        <f>tbl_Hospital_Multi[[#This Row],[Water ConsumptionTL]]*tbl_Hospital_Multi[[#This Row],[Water Cseps]]*tbl_Hospital_Multi[[#This Row],[Water CCDD]]*tbl_Hospital_Multi[[#This Row],[Water Cpeer]]</f>
        <v>13993.269464605059</v>
      </c>
      <c r="BQ6" s="36">
        <f>tbl_Hospital_Multi[[#This Row],[Total OBD]]*INDEX(tbl_Hospital_W_TL[a],tbl_Hospital_Multi[[#This Row],[Group]])+INDEX(tbl_Hospital_W_TL[b (intercept)],tbl_Hospital_Multi[[#This Row],[Group]])</f>
        <v>25685.7264</v>
      </c>
      <c r="BR6" s="38">
        <f>Hospital_C_W_Seps_a*tbl_Hospital_Multi[[#This Row],[Seps]]/tbl_Hospital_Multi[[#This Row],[Total OBD]]+Hospital_C_W_Seps_b</f>
        <v>0.51026191268598275</v>
      </c>
      <c r="BS6" s="36">
        <f>Hospital_C_W_CDD_a*tbl_Hospital_Multi[[#This Row],[CDD]]+Hospital_C_W_CDD_b</f>
        <v>1.067663</v>
      </c>
      <c r="BT6" s="36">
        <f>IF(ISNA(MATCH(tbl_Hospital_Multi[[#This Row],[Peer Group]],tbl_Hospital_CPeer_Water_Corrections[Minor Hospital Correction Water],0)),1,INDEX(tbl_Hospital_CPeer_Water_Corrections[Correction],MATCH(tbl_Hospital_Multi[[#This Row],[Peer Group]],tbl_Hospital_CPeer_Water_Corrections[Minor Hospital Correction Water],0)))</f>
        <v>1</v>
      </c>
      <c r="BU6" s="296">
        <f>(tbl_Hospital_Multi[[#This Row],[Target Energy]]-7)/-3.5*100</f>
        <v>57.142857142857139</v>
      </c>
      <c r="BV6" s="44">
        <f>tbl_Hospital_Multi[[#This Row],[Predicted Emissions]]/100*(tbl_Hospital_Multi[[#This Row],[Target Max Energy BF]])</f>
        <v>828689.65962410846</v>
      </c>
      <c r="BW6" s="47">
        <f>tbl_Hospital_Multi[[#This Row],[Target Max CO2]]/tbl_Hospital_Multi[[#This Row],[Total OBD]]</f>
        <v>27.038947390502102</v>
      </c>
      <c r="BX6" s="44">
        <f>tbl_Hospital_Multi[[#This Row],[Target Max CO2]]/tbl_Hospital_Multi[[#This Row],[EffGHG]]</f>
        <v>3776307.3096794817</v>
      </c>
      <c r="BY6" s="44">
        <f>tbl_Hospital_Multi[[#This Row],[Target Max Energy (MJ)]]/tbl_Hospital_Multi[[#This Row],[Total OBD]]</f>
        <v>123.21545646304756</v>
      </c>
      <c r="BZ6" s="44">
        <f>ROUNDDOWN(tbl_Hospital_Multi[[#This Row],[Target Max Energy (MJ)]]*tbl_Hospital_Multi[[#This Row],[Electricity (%)]]/tbl_Hospital_Multi[[#This Row],[CFelec]],0)</f>
        <v>1048974</v>
      </c>
      <c r="CA6" s="44">
        <f>ROUNDDOWN(tbl_Hospital_Multi[[#This Row],[Target Max Energy (MJ)]]*tbl_Hospital_Multi[[#This Row],[Gas (%)]],0)</f>
        <v>0</v>
      </c>
      <c r="CB6" s="44">
        <f>ROUNDDOWN(tbl_Hospital_Multi[[#This Row],[Target Max Energy (MJ)]]*tbl_Hospital_Multi[[#This Row],[LPG (%)]]/tbl_Hospital_Multi[[#This Row],[CFLPG]],0)</f>
        <v>0</v>
      </c>
      <c r="CC6" s="44">
        <f>ROUNDDOWN(tbl_Hospital_Multi[[#This Row],[Target Max Energy (MJ)]]*tbl_Hospital_Multi[[#This Row],[Diesel (%)]]/tbl_Hospital_Multi[[#This Row],[CFdiesel]],0)</f>
        <v>0</v>
      </c>
      <c r="CD6" s="44">
        <f>SUM(tbl_Hospital_Multi[[#This Row],[Target Max Elec (kWh)]]*tbl_Hospital_Multi[[#This Row],[SGEe Scopes 1,2&amp;3]],
tbl_Hospital_Multi[[#This Row],[Target Max Gas (MJ)]]*tbl_Hospital_Multi[[#This Row],[SGEg Scopes 1,2&amp;3]],
tbl_Hospital_Multi[[#This Row],[Target Max Diesel (L)]]*tbl_Hospital_Multi[[#This Row],[SGEd Scopes 1,2&amp;3]],
tbl_Hospital_Multi[[#This Row],[Target Max LPG (L)]]*tbl_Hospital_Multi[[#This Row],[SGEl Scopes 1,2&amp;3]])</f>
        <v>828689.46000000008</v>
      </c>
      <c r="CE6" s="44">
        <f>SUM(tbl_Hospital_Multi[[#This Row],[Target Max Elec (kWh)]]*tbl_Hospital_Multi[[#This Row],[SGEe Scopes 1&amp;2]],
tbl_Hospital_Multi[[#This Row],[Target Max Gas (MJ)]]*tbl_Hospital_Multi[[#This Row],[SGEg Scopes 1&amp;2]],
tbl_Hospital_Multi[[#This Row],[Target Max Diesel (L)]]*tbl_Hospital_Multi[[#This Row],[SGEd Scopes 1&amp;2]],
tbl_Hospital_Multi[[#This Row],[Target Max LPG (L)]]*tbl_Hospital_Multi[[#This Row],[SGEl Scopes 1&amp;2]])</f>
        <v>765751.02</v>
      </c>
      <c r="CF6" s="296">
        <f>(tbl_Hospital_Multi[[#This Row],[Target Water]]-7)/(-6/159)</f>
        <v>37.100000000000009</v>
      </c>
      <c r="CG6" s="44">
        <f>ROUNDDOWN(tbl_Hospital_Multi[[#This Row],[Target Max Water BF]]/100*tbl_Hospital_Multi[[Predicted Water Consumption]:[Predicted Water Consumption]],0)</f>
        <v>5191</v>
      </c>
      <c r="CH6" s="296">
        <f>tbl_Hospital_Multi[[#This Row],[Target Max Water (kL)]]/tbl_Hospital_Multi[[#This Row],[Total OBD]]</f>
        <v>0.16937483685721744</v>
      </c>
      <c r="CI6" s="578">
        <f>(LEFT(tbl_Hospital_Multi[[#Headers],[6.0* Max BF Energy]],3)-7)/-3.5*100</f>
        <v>28.571428571428569</v>
      </c>
      <c r="CJ6" s="578">
        <f>(LEFT(tbl_Hospital_Multi[[#Headers],[5.5* Max BF Energy]],3)-7)/-3.5*100</f>
        <v>42.857142857142854</v>
      </c>
      <c r="CK6" s="578">
        <f>(LEFT(tbl_Hospital_Multi[[#Headers],[5.0* Max BF Energy]],3)-7)/-3.5*100</f>
        <v>57.142857142857139</v>
      </c>
      <c r="CL6" s="578">
        <f>(LEFT(tbl_Hospital_Multi[[#Headers],[4.5* Max BF Energy]],3)-7)/-3.5*100</f>
        <v>71.428571428571431</v>
      </c>
      <c r="CM6" s="578">
        <f>(LEFT(tbl_Hospital_Multi[[#Headers],[4.0* Max BF Energy]],3)-7)/-3.5*100</f>
        <v>85.714285714285708</v>
      </c>
      <c r="CN6" s="578">
        <f>(LEFT(tbl_Hospital_Multi[[#Headers],[3.5* Max BF Energy]],3)-7)/-3.5*100</f>
        <v>100</v>
      </c>
      <c r="CO6" s="578">
        <f>(LEFT(tbl_Hospital_Multi[[#Headers],[3.0* Max BF Energy]],3)-7)/-3.5*100</f>
        <v>114.28571428571428</v>
      </c>
      <c r="CP6" s="578">
        <f>(LEFT(tbl_Hospital_Multi[[#Headers],[2.5* Max BF Energy]],3)-7)/-3.5*100</f>
        <v>128.57142857142858</v>
      </c>
      <c r="CQ6" s="578">
        <f>(LEFT(tbl_Hospital_Multi[[#Headers],[2.0* Max BF Energy]],3)-7)/-3.5*100</f>
        <v>142.85714285714286</v>
      </c>
      <c r="CR6" s="578">
        <f>(LEFT(tbl_Hospital_Multi[[#Headers],[1.5* Max BF Energy]],3)-7)/-3.5*100</f>
        <v>157.14285714285714</v>
      </c>
      <c r="CS6" s="578">
        <f>(LEFT(tbl_Hospital_Multi[[#Headers],[1.0* Max BF Energy]],3)-7)/-3.5*100</f>
        <v>171.42857142857142</v>
      </c>
      <c r="CT6" s="578">
        <f>(LEFT(tbl_Hospital_Multi[[#Headers],[0.0* Max BF Energy]],3)-7)/-3.5*100</f>
        <v>200</v>
      </c>
      <c r="CU6" s="44">
        <f>tbl_Hospital_Multi[[Predicted Emissions]:[Predicted Emissions]]*(tbl_Hospital_Multi[[#This Row],[6.0* Max BF Energy]])/100</f>
        <v>414344.82981205429</v>
      </c>
      <c r="CV6" s="44">
        <f>tbl_Hospital_Multi[[Predicted Emissions]:[Predicted Emissions]]*(tbl_Hospital_Multi[[#This Row],[5.5* Max BF Energy]])/100</f>
        <v>621517.24471808132</v>
      </c>
      <c r="CW6" s="44">
        <f>tbl_Hospital_Multi[[Predicted Emissions]:[Predicted Emissions]]*(tbl_Hospital_Multi[[#This Row],[5.0* Max BF Energy]])/100</f>
        <v>828689.65962410858</v>
      </c>
      <c r="CX6" s="44">
        <f>tbl_Hospital_Multi[[Predicted Emissions]:[Predicted Emissions]]*(tbl_Hospital_Multi[[#This Row],[4.5* Max BF Energy]])/100</f>
        <v>1035862.0745301357</v>
      </c>
      <c r="CY6" s="44">
        <f>tbl_Hospital_Multi[[Predicted Emissions]:[Predicted Emissions]]*(tbl_Hospital_Multi[[#This Row],[4.0* Max BF Energy]])/100</f>
        <v>1243034.4894361626</v>
      </c>
      <c r="CZ6" s="44">
        <f>tbl_Hospital_Multi[[Predicted Emissions]:[Predicted Emissions]]*(tbl_Hospital_Multi[[#This Row],[3.5* Max BF Energy]])/100</f>
        <v>1450206.9043421901</v>
      </c>
      <c r="DA6" s="44">
        <f>tbl_Hospital_Multi[[Predicted Emissions]:[Predicted Emissions]]*(tbl_Hospital_Multi[[#This Row],[3.0* Max BF Energy]])/100</f>
        <v>1657379.3192482172</v>
      </c>
      <c r="DB6" s="44">
        <f>tbl_Hospital_Multi[[Predicted Emissions]:[Predicted Emissions]]*(tbl_Hospital_Multi[[#This Row],[2.5* Max BF Energy]])/100</f>
        <v>1864551.7341542444</v>
      </c>
      <c r="DC6" s="44">
        <f>tbl_Hospital_Multi[[Predicted Emissions]:[Predicted Emissions]]*(tbl_Hospital_Multi[[#This Row],[2.0* Max BF Energy]])/100</f>
        <v>2071724.1490602714</v>
      </c>
      <c r="DD6" s="44">
        <f>tbl_Hospital_Multi[[Predicted Emissions]:[Predicted Emissions]]*(tbl_Hospital_Multi[[#This Row],[1.5* Max BF Energy]])/100</f>
        <v>2278896.5639662985</v>
      </c>
      <c r="DE6" s="44">
        <f>tbl_Hospital_Multi[[Predicted Emissions]:[Predicted Emissions]]*(tbl_Hospital_Multi[[#This Row],[1.0* Max BF Energy]])/100</f>
        <v>2486068.9788723253</v>
      </c>
      <c r="DF6" s="44">
        <f>tbl_Hospital_Multi[[Predicted Emissions]:[Predicted Emissions]]*(tbl_Hospital_Multi[[#This Row],[0.0* Max BF Energy]])/100</f>
        <v>2900413.8086843803</v>
      </c>
      <c r="DG6" s="44">
        <f>tbl_Hospital_Multi[[#This Row],[6.0* Max e]]/tbl_Hospital_Multi[[EffGHG]:[EffGHG]]</f>
        <v>1888153.6548397411</v>
      </c>
      <c r="DH6" s="44">
        <f>tbl_Hospital_Multi[[#This Row],[5.5* Max e]]/tbl_Hospital_Multi[[EffGHG]:[EffGHG]]</f>
        <v>2832230.4822596111</v>
      </c>
      <c r="DI6" s="44">
        <f>tbl_Hospital_Multi[[#This Row],[5.0* Max e]]/tbl_Hospital_Multi[[EffGHG]:[EffGHG]]</f>
        <v>3776307.3096794821</v>
      </c>
      <c r="DJ6" s="44">
        <f>tbl_Hospital_Multi[[#This Row],[4.5* Max e]]/tbl_Hospital_Multi[[EffGHG]:[EffGHG]]</f>
        <v>4720384.1370993527</v>
      </c>
      <c r="DK6" s="44">
        <f>tbl_Hospital_Multi[[#This Row],[4.0* Max e]]/tbl_Hospital_Multi[[EffGHG]:[EffGHG]]</f>
        <v>5664460.9645192223</v>
      </c>
      <c r="DL6" s="44">
        <f>tbl_Hospital_Multi[[#This Row],[3.5* Max e]]/tbl_Hospital_Multi[[EffGHG]:[EffGHG]]</f>
        <v>6608537.7919390947</v>
      </c>
      <c r="DM6" s="44">
        <f>tbl_Hospital_Multi[[#This Row],[3.0* Max e]]/tbl_Hospital_Multi[[EffGHG]:[EffGHG]]</f>
        <v>7552614.6193589643</v>
      </c>
      <c r="DN6" s="44">
        <f>tbl_Hospital_Multi[[#This Row],[2.5* Max e]]/tbl_Hospital_Multi[[EffGHG]:[EffGHG]]</f>
        <v>8496691.4467788357</v>
      </c>
      <c r="DO6" s="44">
        <f>tbl_Hospital_Multi[[#This Row],[2.0* Max e]]/tbl_Hospital_Multi[[EffGHG]:[EffGHG]]</f>
        <v>9440768.2741987053</v>
      </c>
      <c r="DP6" s="44">
        <f>tbl_Hospital_Multi[[#This Row],[1.5* Max e]]/tbl_Hospital_Multi[[EffGHG]:[EffGHG]]</f>
        <v>10384845.101618575</v>
      </c>
      <c r="DQ6" s="44">
        <f>tbl_Hospital_Multi[[#This Row],[1.0* Max e]]/tbl_Hospital_Multi[[EffGHG]:[EffGHG]]</f>
        <v>11328921.929038445</v>
      </c>
      <c r="DR6" s="44">
        <f>tbl_Hospital_Multi[[#This Row],[0.0* Max e]]/tbl_Hospital_Multi[[EffGHG]:[EffGHG]]</f>
        <v>13217075.583878189</v>
      </c>
      <c r="DS6" s="44">
        <f>ROUNDDOWN(tbl_Hospital_Multi[[#This Row],[6.0* Max Energy (MJ)]]*tbl_Hospital_Multi[[Electricity (%)]:[Electricity (%)]]/tbl_Hospital_Multi[[CFelec]:[CFelec]],0)</f>
        <v>524487</v>
      </c>
      <c r="DT6" s="44">
        <f>ROUNDDOWN(tbl_Hospital_Multi[[#This Row],[5.5* Max Energy (MJ)]]*tbl_Hospital_Multi[[Electricity (%)]:[Electricity (%)]]/tbl_Hospital_Multi[[CFelec]:[CFelec]],0)</f>
        <v>786730</v>
      </c>
      <c r="DU6" s="44">
        <f>ROUNDDOWN(tbl_Hospital_Multi[[#This Row],[5.0* Max Energy (MJ)]]*tbl_Hospital_Multi[[Electricity (%)]:[Electricity (%)]]/tbl_Hospital_Multi[[CFelec]:[CFelec]],0)</f>
        <v>1048974</v>
      </c>
      <c r="DV6" s="44">
        <f>ROUNDDOWN(tbl_Hospital_Multi[[#This Row],[4.5* Max Energy (MJ)]]*tbl_Hospital_Multi[[Electricity (%)]:[Electricity (%)]]/tbl_Hospital_Multi[[CFelec]:[CFelec]],0)</f>
        <v>1311217</v>
      </c>
      <c r="DW6" s="44">
        <f>ROUNDDOWN(tbl_Hospital_Multi[[#This Row],[4.0* Max Energy (MJ)]]*tbl_Hospital_Multi[[Electricity (%)]:[Electricity (%)]]/tbl_Hospital_Multi[[CFelec]:[CFelec]],0)</f>
        <v>1573461</v>
      </c>
      <c r="DX6" s="44">
        <f>ROUNDDOWN(tbl_Hospital_Multi[[#This Row],[3.5* Max Energy (MJ)]]*tbl_Hospital_Multi[[Electricity (%)]:[Electricity (%)]]/tbl_Hospital_Multi[[CFelec]:[CFelec]],0)</f>
        <v>1835704</v>
      </c>
      <c r="DY6" s="44">
        <f>ROUNDDOWN(tbl_Hospital_Multi[[#This Row],[3.0* Max Energy (MJ)]]*tbl_Hospital_Multi[[Electricity (%)]:[Electricity (%)]]/tbl_Hospital_Multi[[CFelec]:[CFelec]],0)</f>
        <v>2097948</v>
      </c>
      <c r="DZ6" s="44">
        <f>ROUNDDOWN(tbl_Hospital_Multi[[#This Row],[2.5* Max Energy (MJ)]]*tbl_Hospital_Multi[[Electricity (%)]:[Electricity (%)]]/tbl_Hospital_Multi[[CFelec]:[CFelec]],0)</f>
        <v>2360192</v>
      </c>
      <c r="EA6" s="44">
        <f>ROUNDDOWN(tbl_Hospital_Multi[[#This Row],[2.0* Max Energy (MJ)]]*tbl_Hospital_Multi[[Electricity (%)]:[Electricity (%)]]/tbl_Hospital_Multi[[CFelec]:[CFelec]],0)</f>
        <v>2622435</v>
      </c>
      <c r="EB6" s="44">
        <f>ROUNDDOWN(tbl_Hospital_Multi[[#This Row],[1.5* Max Energy (MJ)]]*tbl_Hospital_Multi[[Electricity (%)]:[Electricity (%)]]/tbl_Hospital_Multi[[CFelec]:[CFelec]],0)</f>
        <v>2884679</v>
      </c>
      <c r="EC6" s="44">
        <f>ROUNDDOWN(tbl_Hospital_Multi[[#This Row],[1.0* Max Energy (MJ)]]*tbl_Hospital_Multi[[Electricity (%)]:[Electricity (%)]]/tbl_Hospital_Multi[[CFelec]:[CFelec]],0)</f>
        <v>3146922</v>
      </c>
      <c r="ED6" s="44">
        <f>ROUNDDOWN(tbl_Hospital_Multi[[#This Row],[0.0* Max Energy (MJ)]]*tbl_Hospital_Multi[[Electricity (%)]:[Electricity (%)]]/tbl_Hospital_Multi[[CFelec]:[CFelec]],0)</f>
        <v>3671409</v>
      </c>
      <c r="EE6" s="44">
        <f>ROUNDDOWN(tbl_Hospital_Multi[[#This Row],[6.0* Max Energy (MJ)]]*tbl_Hospital_Multi[[Gas (%)]:[Gas (%)]],0)</f>
        <v>0</v>
      </c>
      <c r="EF6" s="44">
        <f>ROUNDDOWN(tbl_Hospital_Multi[[#This Row],[5.5* Max Energy (MJ)]]*tbl_Hospital_Multi[[Gas (%)]:[Gas (%)]],0)</f>
        <v>0</v>
      </c>
      <c r="EG6" s="44">
        <f>ROUNDDOWN(tbl_Hospital_Multi[[#This Row],[5.0* Max Energy (MJ)]]*tbl_Hospital_Multi[[Gas (%)]:[Gas (%)]],0)</f>
        <v>0</v>
      </c>
      <c r="EH6" s="44">
        <f>ROUNDDOWN(tbl_Hospital_Multi[[#This Row],[4.5* Max Energy (MJ)]]*tbl_Hospital_Multi[[Gas (%)]:[Gas (%)]],0)</f>
        <v>0</v>
      </c>
      <c r="EI6" s="44">
        <f>ROUNDDOWN(tbl_Hospital_Multi[[#This Row],[4.0* Max Energy (MJ)]]*tbl_Hospital_Multi[[Gas (%)]:[Gas (%)]],0)</f>
        <v>0</v>
      </c>
      <c r="EJ6" s="44">
        <f>ROUNDDOWN(tbl_Hospital_Multi[[#This Row],[3.5* Max Energy (MJ)]]*tbl_Hospital_Multi[[Gas (%)]:[Gas (%)]],0)</f>
        <v>0</v>
      </c>
      <c r="EK6" s="44">
        <f>ROUNDDOWN(tbl_Hospital_Multi[[#This Row],[3.0* Max Energy (MJ)]]*tbl_Hospital_Multi[[Gas (%)]:[Gas (%)]],0)</f>
        <v>0</v>
      </c>
      <c r="EL6" s="44">
        <f>ROUNDDOWN(tbl_Hospital_Multi[[#This Row],[2.5* Max Energy (MJ)]]*tbl_Hospital_Multi[[Gas (%)]:[Gas (%)]],0)</f>
        <v>0</v>
      </c>
      <c r="EM6" s="44">
        <f>ROUNDDOWN(tbl_Hospital_Multi[[#This Row],[2.0* Max Energy (MJ)]]*tbl_Hospital_Multi[[Gas (%)]:[Gas (%)]],0)</f>
        <v>0</v>
      </c>
      <c r="EN6" s="44">
        <f>ROUNDDOWN(tbl_Hospital_Multi[[#This Row],[1.5* Max Energy (MJ)]]*tbl_Hospital_Multi[[Gas (%)]:[Gas (%)]],0)</f>
        <v>0</v>
      </c>
      <c r="EO6" s="44">
        <f>ROUNDDOWN(tbl_Hospital_Multi[[#This Row],[1.0* Max Energy (MJ)]]*tbl_Hospital_Multi[[Gas (%)]:[Gas (%)]],0)</f>
        <v>0</v>
      </c>
      <c r="EP6" s="44">
        <f>ROUNDDOWN(tbl_Hospital_Multi[[#This Row],[0.0* Max Energy (MJ)]]*tbl_Hospital_Multi[[Gas (%)]:[Gas (%)]],0)</f>
        <v>0</v>
      </c>
      <c r="EQ6" s="44">
        <f>ROUNDDOWN(tbl_Hospital_Multi[[#This Row],[6.0* Max Energy (MJ)]]*tbl_Hospital_Multi[[LPG (%)]:[LPG (%)]]/tbl_Hospital_Multi[[CFLPG]:[CFLPG]],0)</f>
        <v>0</v>
      </c>
      <c r="ER6" s="44">
        <f>ROUNDDOWN(tbl_Hospital_Multi[[#This Row],[5.5* Max Energy (MJ)]]*tbl_Hospital_Multi[[LPG (%)]:[LPG (%)]]/tbl_Hospital_Multi[[CFLPG]:[CFLPG]],0)</f>
        <v>0</v>
      </c>
      <c r="ES6" s="44">
        <f>ROUNDDOWN(tbl_Hospital_Multi[[#This Row],[5.0* Max Energy (MJ)]]*tbl_Hospital_Multi[[LPG (%)]:[LPG (%)]]/tbl_Hospital_Multi[[CFLPG]:[CFLPG]],0)</f>
        <v>0</v>
      </c>
      <c r="ET6" s="44">
        <f>ROUNDDOWN(tbl_Hospital_Multi[[#This Row],[4.5* Max Energy (MJ)]]*tbl_Hospital_Multi[[LPG (%)]:[LPG (%)]]/tbl_Hospital_Multi[[CFLPG]:[CFLPG]],0)</f>
        <v>0</v>
      </c>
      <c r="EU6" s="44">
        <f>ROUNDDOWN(tbl_Hospital_Multi[[#This Row],[4.0* Max Energy (MJ)]]*tbl_Hospital_Multi[[LPG (%)]:[LPG (%)]]/tbl_Hospital_Multi[[CFLPG]:[CFLPG]],0)</f>
        <v>0</v>
      </c>
      <c r="EV6" s="44">
        <f>ROUNDDOWN(tbl_Hospital_Multi[[#This Row],[3.5* Max Energy (MJ)]]*tbl_Hospital_Multi[[LPG (%)]:[LPG (%)]]/tbl_Hospital_Multi[[CFLPG]:[CFLPG]],0)</f>
        <v>0</v>
      </c>
      <c r="EW6" s="44">
        <f>ROUNDDOWN(tbl_Hospital_Multi[[#This Row],[3.0* Max Energy (MJ)]]*tbl_Hospital_Multi[[LPG (%)]:[LPG (%)]]/tbl_Hospital_Multi[[CFLPG]:[CFLPG]],0)</f>
        <v>0</v>
      </c>
      <c r="EX6" s="44">
        <f>ROUNDDOWN(tbl_Hospital_Multi[[#This Row],[2.5* Max Energy (MJ)]]*tbl_Hospital_Multi[[LPG (%)]:[LPG (%)]]/tbl_Hospital_Multi[[CFLPG]:[CFLPG]],0)</f>
        <v>0</v>
      </c>
      <c r="EY6" s="44">
        <f>ROUNDDOWN(tbl_Hospital_Multi[[#This Row],[2.0* Max Energy (MJ)]]*tbl_Hospital_Multi[[LPG (%)]:[LPG (%)]]/tbl_Hospital_Multi[[CFLPG]:[CFLPG]],0)</f>
        <v>0</v>
      </c>
      <c r="EZ6" s="44">
        <f>ROUNDDOWN(tbl_Hospital_Multi[[#This Row],[1.5* Max Energy (MJ)]]*tbl_Hospital_Multi[[LPG (%)]:[LPG (%)]]/tbl_Hospital_Multi[[CFLPG]:[CFLPG]],0)</f>
        <v>0</v>
      </c>
      <c r="FA6" s="44">
        <f>ROUNDDOWN(tbl_Hospital_Multi[[#This Row],[1.0* Max Energy (MJ)]]*tbl_Hospital_Multi[[LPG (%)]:[LPG (%)]]/tbl_Hospital_Multi[[CFLPG]:[CFLPG]],0)</f>
        <v>0</v>
      </c>
      <c r="FB6" s="44">
        <f>ROUNDDOWN(tbl_Hospital_Multi[[#This Row],[0.0* Max Energy (MJ)]]*tbl_Hospital_Multi[[LPG (%)]:[LPG (%)]]/tbl_Hospital_Multi[[CFLPG]:[CFLPG]],0)</f>
        <v>0</v>
      </c>
      <c r="FC6" s="44">
        <f>ROUNDDOWN(tbl_Hospital_Multi[[#This Row],[6.0* Max Energy (MJ)]]*tbl_Hospital_Multi[[Diesel (%)]:[Diesel (%)]]/tbl_Hospital_Multi[[CFdiesel]:[CFdiesel]],0)</f>
        <v>0</v>
      </c>
      <c r="FD6" s="44">
        <f>ROUNDDOWN(tbl_Hospital_Multi[[#This Row],[5.5* Max Energy (MJ)]]*tbl_Hospital_Multi[[Diesel (%)]:[Diesel (%)]]/tbl_Hospital_Multi[[CFdiesel]:[CFdiesel]],0)</f>
        <v>0</v>
      </c>
      <c r="FE6" s="44">
        <f>ROUNDDOWN(tbl_Hospital_Multi[[#This Row],[5.0* Max Energy (MJ)]]*tbl_Hospital_Multi[[Diesel (%)]:[Diesel (%)]]/tbl_Hospital_Multi[[CFdiesel]:[CFdiesel]],0)</f>
        <v>0</v>
      </c>
      <c r="FF6" s="44">
        <f>ROUNDDOWN(tbl_Hospital_Multi[[#This Row],[4.5* Max Energy (MJ)]]*tbl_Hospital_Multi[[Diesel (%)]:[Diesel (%)]]/tbl_Hospital_Multi[[CFdiesel]:[CFdiesel]],0)</f>
        <v>0</v>
      </c>
      <c r="FG6" s="44">
        <f>ROUNDDOWN(tbl_Hospital_Multi[[#This Row],[4.0* Max Energy (MJ)]]*tbl_Hospital_Multi[[Diesel (%)]:[Diesel (%)]]/tbl_Hospital_Multi[[CFdiesel]:[CFdiesel]],0)</f>
        <v>0</v>
      </c>
      <c r="FH6" s="44">
        <f>ROUNDDOWN(tbl_Hospital_Multi[[#This Row],[3.5* Max Energy (MJ)]]*tbl_Hospital_Multi[[Diesel (%)]:[Diesel (%)]]/tbl_Hospital_Multi[[CFdiesel]:[CFdiesel]],0)</f>
        <v>0</v>
      </c>
      <c r="FI6" s="44">
        <f>ROUNDDOWN(tbl_Hospital_Multi[[#This Row],[3.0* Max Energy (MJ)]]*tbl_Hospital_Multi[[Diesel (%)]:[Diesel (%)]]/tbl_Hospital_Multi[[CFdiesel]:[CFdiesel]],0)</f>
        <v>0</v>
      </c>
      <c r="FJ6" s="44">
        <f>ROUNDDOWN(tbl_Hospital_Multi[[#This Row],[2.5* Max Energy (MJ)]]*tbl_Hospital_Multi[[Diesel (%)]:[Diesel (%)]]/tbl_Hospital_Multi[[CFdiesel]:[CFdiesel]],0)</f>
        <v>0</v>
      </c>
      <c r="FK6" s="44">
        <f>ROUNDDOWN(tbl_Hospital_Multi[[#This Row],[2.0* Max Energy (MJ)]]*tbl_Hospital_Multi[[Diesel (%)]:[Diesel (%)]]/tbl_Hospital_Multi[[CFdiesel]:[CFdiesel]],0)</f>
        <v>0</v>
      </c>
      <c r="FL6" s="44">
        <f>ROUNDDOWN(tbl_Hospital_Multi[[#This Row],[1.5* Max Energy (MJ)]]*tbl_Hospital_Multi[[Diesel (%)]:[Diesel (%)]]/tbl_Hospital_Multi[[CFdiesel]:[CFdiesel]],0)</f>
        <v>0</v>
      </c>
      <c r="FM6" s="44">
        <f>ROUNDDOWN(tbl_Hospital_Multi[[#This Row],[1.0* Max Energy (MJ)]]*tbl_Hospital_Multi[[Diesel (%)]:[Diesel (%)]]/tbl_Hospital_Multi[[CFdiesel]:[CFdiesel]],0)</f>
        <v>0</v>
      </c>
      <c r="FN6" s="44">
        <f>ROUNDDOWN(tbl_Hospital_Multi[[#This Row],[0.0* Max Energy (MJ)]]*tbl_Hospital_Multi[[Diesel (%)]:[Diesel (%)]]/tbl_Hospital_Multi[[CFdiesel]:[CFdiesel]],0)</f>
        <v>0</v>
      </c>
      <c r="FO6" s="44">
        <f>(LEFT(tbl_Hospital_Multi[[#Headers],[6.0* Max BF Water]],3)-7)/(-6/159)</f>
        <v>26.5</v>
      </c>
      <c r="FP6" s="44">
        <f>(LEFT(tbl_Hospital_Multi[[#Headers],[5.5* Max BF Water]],3)-7)/(-6/159)</f>
        <v>39.75</v>
      </c>
      <c r="FQ6" s="44">
        <f>(LEFT(tbl_Hospital_Multi[[#Headers],[5.0* Max BF Water]],3)-7)/(-6/159)</f>
        <v>53</v>
      </c>
      <c r="FR6" s="44">
        <f>(LEFT(tbl_Hospital_Multi[[#Headers],[4.5* Max BF Water]],3)-7)/(-6/159)</f>
        <v>66.25</v>
      </c>
      <c r="FS6" s="44">
        <f>(LEFT(tbl_Hospital_Multi[[#Headers],[4.0* Max BF Water]],3)-7)/(-6/159)</f>
        <v>79.5</v>
      </c>
      <c r="FT6" s="44">
        <f>(LEFT(tbl_Hospital_Multi[[#Headers],[3.5* Max BF Water]],3)-7)/(-6/159)</f>
        <v>92.75</v>
      </c>
      <c r="FU6" s="44">
        <f>(LEFT(tbl_Hospital_Multi[[#Headers],[3.0* Max BF Water]],3)-7)/(-6/159)</f>
        <v>106</v>
      </c>
      <c r="FV6" s="44">
        <f>(LEFT(tbl_Hospital_Multi[[#Headers],[2.5* Max BF Water]],3)-7)/(-6/159)</f>
        <v>119.25</v>
      </c>
      <c r="FW6" s="44">
        <f>(LEFT(tbl_Hospital_Multi[[#Headers],[2.0* Max BF  Water]],3)-7)/(-6/159)</f>
        <v>132.5</v>
      </c>
      <c r="FX6" s="44">
        <f>(LEFT(tbl_Hospital_Multi[[#Headers],[1.5* Max BF  Water]],3)-7)/(-6/159)</f>
        <v>145.75</v>
      </c>
      <c r="FY6" s="44">
        <f>(LEFT(tbl_Hospital_Multi[[#Headers],[1.0* Max BF  Water]],3)-7)/(-6/159)</f>
        <v>159</v>
      </c>
      <c r="FZ6" s="44">
        <f>(LEFT(tbl_Hospital_Multi[[#Headers],[0.0* Max BF  Water]],3)-7)/(-6/159)</f>
        <v>185.5</v>
      </c>
      <c r="GA6" s="44">
        <f>tbl_Hospital_Multi[[#This Row],[6.0* Max BF Water]]*tbl_Hospital_Multi[[Predicted Water Consumption]:[Predicted Water Consumption]]/100</f>
        <v>3708.2164081203409</v>
      </c>
      <c r="GB6" s="44">
        <f>tbl_Hospital_Multi[[#This Row],[5.5* Max BF Water]]*tbl_Hospital_Multi[[Predicted Water Consumption]:[Predicted Water Consumption]]/100</f>
        <v>5562.3246121805105</v>
      </c>
      <c r="GC6" s="44">
        <f>tbl_Hospital_Multi[[#This Row],[5.0* Max BF Water]]*tbl_Hospital_Multi[[Predicted Water Consumption]:[Predicted Water Consumption]]/100</f>
        <v>7416.4328162406819</v>
      </c>
      <c r="GD6" s="44">
        <f>tbl_Hospital_Multi[[#This Row],[4.5* Max BF Water]]*tbl_Hospital_Multi[[Predicted Water Consumption]:[Predicted Water Consumption]]/100</f>
        <v>9270.5410203008523</v>
      </c>
      <c r="GE6" s="44">
        <f>tbl_Hospital_Multi[[#This Row],[4.0* Max BF Water]]*tbl_Hospital_Multi[[Predicted Water Consumption]:[Predicted Water Consumption]]/100</f>
        <v>11124.649224361021</v>
      </c>
      <c r="GF6" s="44">
        <f>tbl_Hospital_Multi[[#This Row],[3.5* Max BF Water]]*tbl_Hospital_Multi[[Predicted Water Consumption]:[Predicted Water Consumption]]/100</f>
        <v>12978.757428421191</v>
      </c>
      <c r="GG6" s="44">
        <f>tbl_Hospital_Multi[[#This Row],[3.0* Max BF Water]]*tbl_Hospital_Multi[[Predicted Water Consumption]:[Predicted Water Consumption]]/100</f>
        <v>14832.865632481364</v>
      </c>
      <c r="GH6" s="44">
        <f>tbl_Hospital_Multi[[#This Row],[2.5* Max BF Water]]*tbl_Hospital_Multi[[Predicted Water Consumption]:[Predicted Water Consumption]]/100</f>
        <v>16686.973836541532</v>
      </c>
      <c r="GI6" s="44">
        <f>tbl_Hospital_Multi[[#This Row],[2.0* Max BF  Water]]*tbl_Hospital_Multi[[Predicted Water Consumption]:[Predicted Water Consumption]]/100</f>
        <v>18541.082040601705</v>
      </c>
      <c r="GJ6" s="44">
        <f>tbl_Hospital_Multi[[#This Row],[1.5* Max BF  Water]]*tbl_Hospital_Multi[[Predicted Water Consumption]:[Predicted Water Consumption]]/100</f>
        <v>20395.190244661873</v>
      </c>
      <c r="GK6" s="44">
        <f>tbl_Hospital_Multi[[#This Row],[1.0* Max BF  Water]]*tbl_Hospital_Multi[[Predicted Water Consumption]:[Predicted Water Consumption]]/100</f>
        <v>22249.298448722042</v>
      </c>
      <c r="GL6" s="44">
        <f>tbl_Hospital_Multi[[#This Row],[0.0* Max BF  Water]]*tbl_Hospital_Multi[[Predicted Water Consumption]:[Predicted Water Consumption]]/100</f>
        <v>25957.514856842383</v>
      </c>
      <c r="GM6" s="44">
        <f>SUM(tbl_Hospital_Multi[[#This Row],[Electricity]]*(1-tbl_Hospital_Multi[[#This Row],[GP]])*tbl_Hospital_Multi[[#This Row],[SGEe Scopes 1,2&amp;3]],
tbl_Hospital_Multi[[#This Row],[Gas]]*tbl_Hospital_Multi[[#This Row],[SGEg Scopes 1,2&amp;3]],
tbl_Hospital_Multi[[#This Row],[Diesel]]*tbl_Hospital_Multi[[#This Row],[SGEd Scopes 1,2&amp;3]])</f>
        <v>429861.03555999999</v>
      </c>
      <c r="GN6" s="44">
        <f>SUM(tbl_Hospital_Multi[[#This Row],[Electricity]]*(1-tbl_Hospital_Multi[[#This Row],[GP]])*tbl_Hospital_Multi[[#This Row],[SGEe Scopes 1&amp;2]],
tbl_Hospital_Multi[[#This Row],[Gas]]*tbl_Hospital_Multi[[#This Row],[SGEg Scopes 1&amp;2]],
tbl_Hospital_Multi[[#This Row],[Diesel]]*tbl_Hospital_Multi[[#This Row],[SGEd Scopes 1&amp;2]])</f>
        <v>384547.70971999998</v>
      </c>
      <c r="GO6" s="45">
        <f>IF(tbl_Hospital_Multi[[#This Row],[Energy Star Decimal (with GP)]]&lt;1,0,MIN(ROUNDDOWN(tbl_Hospital_Multi[[#This Row],[Energy Star Decimal (with GP)]]*2,0)/2,6))</f>
        <v>5.5</v>
      </c>
      <c r="GP6" s="45">
        <f>((tbl_Hospital_Multi[[#This Row],[e-BF (with GP)]]*(-3.5/100)+7)*2)/2</f>
        <v>5.9430670559141614</v>
      </c>
      <c r="GQ6" s="45">
        <f>IF(tbl_Hospital_Multi[[#This Row],[Energy Star Decimal (no GP)]]&lt;1,0,MIN(ROUNDDOWN(tbl_Hospital_Multi[[#This Row],[Energy Star Decimal (no GP)]]*2,0)/2,6))</f>
        <v>5.5</v>
      </c>
      <c r="GR6" s="45">
        <f>((tbl_Hospital_Multi[[#This Row],[e-BF (no GP)]]*(-3.5/100)+7)*2)/2</f>
        <v>5.9430670559141614</v>
      </c>
      <c r="GS6" s="45">
        <f>SUM(tbl_Hospital_Multi[[#This Row],[Electricity]]*(1-tbl_Hospital_Multi[[#This Row],[GP]])*tbl_Hospital_Multi[[#This Row],[SGEe2022]],
tbl_Hospital_Multi[[#This Row],[Gas]]*tbl_Hospital_Multi[[#This Row],[SGEg2022]],
tbl_Hospital_Multi[[#This Row],[LPG]]*tbl_Hospital_Multi[[#This Row],[SGEL2022]],
tbl_Hospital_Multi[[#This Row],[Diesel]]*tbl_Hospital_Multi[[#This Row],[SGEd2022]])
/tbl_Hospital_Multi[[#This Row],[Predicted Emissions]]*100</f>
        <v>30.198084116738233</v>
      </c>
      <c r="GT6" s="45">
        <f>SUM(tbl_Hospital_Multi[[#This Row],[Electricity]]*tbl_Hospital_Multi[[#This Row],[SGEe2022]],
tbl_Hospital_Multi[[#This Row],[Gas]]*tbl_Hospital_Multi[[#This Row],[SGEg2022]],
tbl_Hospital_Multi[[#This Row],[LPG]]*tbl_Hospital_Multi[[#This Row],[SGEL2022]],
tbl_Hospital_Multi[[#This Row],[Diesel]]*tbl_Hospital_Multi[[#This Row],[SGEd2022]])
/tbl_Hospital_Multi[[#This Row],[Predicted Emissions]]*100</f>
        <v>30.198084116738233</v>
      </c>
      <c r="GU6" s="45">
        <f>IF(tbl_Hospital_Multi[[#This Row],[Water Star Decimal (with recyc)]]&lt;1,0,MIN(ROUNDDOWN(tbl_Hospital_Multi[[#This Row],[Water Star Decimal (with recyc)]]*2,0)/2,6))</f>
        <v>0</v>
      </c>
      <c r="GV6" s="45">
        <f>((tbl_Hospital_Multi[[#This Row],[w-BF (with recyc)]]*(-6/159)+7)*2)/2</f>
        <v>0.59233728970952271</v>
      </c>
      <c r="GW6" s="45">
        <f>IF(tbl_Hospital_Multi[[#This Row],[Water Star Decimal (no recyc)]]&lt;1,0,MIN(ROUNDDOWN(tbl_Hospital_Multi[[#This Row],[Water Star Decimal (no recyc)]]*2,0)/2,6))</f>
        <v>0</v>
      </c>
      <c r="GX6" s="45">
        <f>((tbl_Hospital_Multi[[#This Row],[w-BF (no recyc)]]*(-6/159)+7)*2)/2</f>
        <v>0.59233728970952271</v>
      </c>
      <c r="GY6" s="36">
        <f>tbl_Hospital_Multi[[#This Row],[water]]*(1-tbl_Hospital_Multi[[#This Row],[RW]])/tbl_Hospital_Multi[[#This Row],[Predicted Water Consumption]]*100</f>
        <v>169.80306182269766</v>
      </c>
      <c r="GZ6" s="36">
        <f>tbl_Hospital_Multi[[#This Row],[water]]/tbl_Hospital_Multi[[#This Row],[Predicted Water Consumption]]*100</f>
        <v>169.80306182269766</v>
      </c>
      <c r="HA6" s="36"/>
      <c r="HB6" s="36"/>
      <c r="HC6" s="36"/>
      <c r="HD6" s="36"/>
    </row>
    <row r="9" spans="1:212" ht="16.5" customHeight="1">
      <c r="CT9" s="36"/>
    </row>
    <row r="10" spans="1:212" ht="16.5" customHeight="1">
      <c r="CT10" s="36"/>
    </row>
  </sheetData>
  <sheetProtection selectLockedCells="1"/>
  <phoneticPr fontId="45" type="noConversion"/>
  <dataValidations count="1">
    <dataValidation type="list" allowBlank="1" showInputMessage="1" showErrorMessage="1" sqref="D4:D6" xr:uid="{DCF0A9E2-2793-44EB-917D-8802C0D199D8}">
      <formula1>List_Hospital_Peer_Group</formula1>
    </dataValidation>
  </dataValidations>
  <pageMargins left="0.42" right="0.44" top="0.56000000000000005" bottom="0.6" header="0.34" footer="0.4"/>
  <pageSetup paperSize="9" orientation="portrait" blackAndWhite="1" r:id="rId1"/>
  <headerFooter alignWithMargins="0">
    <oddFooter>&amp;R&amp;D</oddFooter>
  </headerFooter>
  <ignoredErrors>
    <ignoredError sqref="BI4:BJ4 BQ4 CI4:CT4 GP4 GR4" calculatedColumn="1"/>
    <ignoredError sqref="A4:L4 AB4:AH4" unlockedFormula="1"/>
  </ignoredErrors>
  <tableParts count="1">
    <tablePart r:id="rId2"/>
  </tablePar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FDE9A-DE7F-43DD-9805-284D1E337560}">
  <sheetPr codeName="Sheet20">
    <tabColor rgb="FF8AD1F3"/>
  </sheetPr>
  <dimension ref="A1:N99"/>
  <sheetViews>
    <sheetView showGridLines="0" zoomScale="80" zoomScaleNormal="80" workbookViewId="0">
      <selection activeCell="E12" sqref="E12"/>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4.28515625" style="1" customWidth="1"/>
    <col min="8" max="8" width="2.28515625" style="1" customWidth="1"/>
    <col min="9" max="9" width="20.5703125" style="1" customWidth="1"/>
    <col min="10" max="10" width="9.28515625" style="1"/>
    <col min="11" max="11" width="12.7109375" style="1" bestFit="1" customWidth="1"/>
    <col min="12"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1415</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1416</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20</v>
      </c>
      <c r="C10" s="55"/>
      <c r="D10" s="55"/>
      <c r="E10" s="55"/>
      <c r="F10" s="55"/>
      <c r="G10" s="55"/>
      <c r="H10" s="55"/>
    </row>
    <row r="11" spans="1:10" ht="10.5" customHeight="1">
      <c r="B11" s="57"/>
      <c r="C11" s="55"/>
      <c r="D11" s="55"/>
      <c r="E11" s="55"/>
      <c r="F11" s="55"/>
      <c r="G11" s="55"/>
      <c r="H11" s="55"/>
    </row>
    <row r="12" spans="1:10" ht="30" customHeight="1">
      <c r="B12" s="57"/>
      <c r="C12" s="55"/>
      <c r="D12" s="55"/>
      <c r="E12" s="323" t="s">
        <v>21</v>
      </c>
    </row>
    <row r="13" spans="1:10" ht="3" customHeight="1">
      <c r="B13" s="58" t="s">
        <v>1417</v>
      </c>
      <c r="C13" s="55"/>
      <c r="D13" s="55"/>
      <c r="E13" s="347"/>
      <c r="F13" s="314"/>
      <c r="G13" s="55"/>
      <c r="H13" s="55"/>
    </row>
    <row r="14" spans="1:10" ht="18" customHeight="1">
      <c r="B14" s="6"/>
      <c r="C14" s="6"/>
      <c r="D14" s="6"/>
      <c r="E14" s="7"/>
      <c r="F14" s="314"/>
      <c r="G14" s="6"/>
      <c r="H14" s="6"/>
    </row>
    <row r="15" spans="1:10" ht="17.25" customHeight="1">
      <c r="B15" s="56" t="s">
        <v>22</v>
      </c>
      <c r="C15" s="55"/>
      <c r="D15" s="55"/>
      <c r="E15" s="55"/>
      <c r="F15" s="55"/>
      <c r="G15" s="55"/>
      <c r="H15" s="55"/>
    </row>
    <row r="16" spans="1:10" ht="10.5" customHeight="1">
      <c r="B16" s="57"/>
      <c r="C16" s="55"/>
      <c r="D16" s="55"/>
      <c r="E16" s="55"/>
      <c r="F16" s="55"/>
      <c r="G16" s="55"/>
      <c r="H16" s="55"/>
    </row>
    <row r="17" spans="1:10" s="22" customFormat="1" ht="30" customHeight="1">
      <c r="B17" s="24"/>
      <c r="C17" s="23"/>
      <c r="D17" s="23"/>
      <c r="E17" s="74"/>
      <c r="F17" s="51" t="s">
        <v>23</v>
      </c>
      <c r="G17" s="23"/>
      <c r="H17" s="23"/>
      <c r="I17" s="23"/>
      <c r="J17" s="23"/>
    </row>
    <row r="18" spans="1:10" s="22" customFormat="1" ht="17.25" customHeight="1">
      <c r="B18" s="25" t="str">
        <f>IF(MOD(RACRL_Target_Energy*10,1)/10&lt;=0,"","ERROR: Energy Rating must be in 0.1 star increment")</f>
        <v/>
      </c>
      <c r="C18" s="23"/>
      <c r="D18" s="23"/>
      <c r="E18" s="26"/>
      <c r="F18" s="23"/>
      <c r="G18" s="23"/>
      <c r="H18" s="23"/>
    </row>
    <row r="19" spans="1:10" s="22" customFormat="1" ht="30" customHeight="1">
      <c r="B19" s="24"/>
      <c r="C19" s="24"/>
      <c r="D19" s="24"/>
      <c r="E19" s="74"/>
      <c r="F19" s="51" t="s">
        <v>23</v>
      </c>
      <c r="G19" s="24"/>
      <c r="H19" s="24"/>
    </row>
    <row r="20" spans="1:10" ht="13.5" customHeight="1">
      <c r="B20" s="25" t="str">
        <f>IF(MOD(RACRL_Target_Water*10,1)/10&lt;=0,"","ERROR: Water Rating must be in 0.1 star increment")</f>
        <v/>
      </c>
      <c r="C20" s="6"/>
      <c r="D20" s="6"/>
      <c r="E20" s="7"/>
      <c r="F20" s="314"/>
      <c r="G20" s="6"/>
      <c r="H20" s="6"/>
    </row>
    <row r="21" spans="1:10" ht="13.5" customHeight="1">
      <c r="B21" s="6"/>
      <c r="C21" s="6"/>
      <c r="D21" s="6"/>
      <c r="E21" s="7"/>
      <c r="F21" s="314"/>
      <c r="G21" s="6"/>
      <c r="H21" s="6"/>
    </row>
    <row r="22" spans="1:10" ht="13.5" customHeight="1">
      <c r="B22" s="6"/>
      <c r="C22" s="6"/>
      <c r="D22" s="6"/>
      <c r="E22" s="7"/>
      <c r="F22" s="314"/>
      <c r="G22" s="6"/>
      <c r="H22" s="6"/>
    </row>
    <row r="23" spans="1:10" ht="13.5" customHeight="1">
      <c r="B23" s="58"/>
      <c r="I23" s="14"/>
    </row>
    <row r="24" spans="1:10" ht="17.25" customHeight="1">
      <c r="B24" s="56" t="s">
        <v>24</v>
      </c>
      <c r="C24" s="55"/>
      <c r="D24" s="55"/>
      <c r="E24" s="55"/>
      <c r="F24" s="55"/>
      <c r="G24" s="55"/>
      <c r="H24" s="55"/>
    </row>
    <row r="25" spans="1:10" ht="10.5" customHeight="1">
      <c r="B25" s="312"/>
      <c r="C25" s="312"/>
      <c r="D25" s="312"/>
      <c r="E25" s="312"/>
      <c r="F25" s="312"/>
      <c r="G25" s="312"/>
      <c r="H25" s="312"/>
      <c r="I25" s="313"/>
      <c r="J25" s="313"/>
    </row>
    <row r="26" spans="1:10" s="8" customFormat="1" ht="20.25" customHeight="1">
      <c r="A26" s="71"/>
      <c r="B26" s="663" t="s">
        <v>25</v>
      </c>
      <c r="C26" s="664"/>
      <c r="D26" s="664"/>
      <c r="E26" s="664"/>
      <c r="F26" s="664"/>
      <c r="G26" s="665"/>
      <c r="I26" s="75"/>
    </row>
    <row r="27" spans="1:10" s="8" customFormat="1" ht="20.25" customHeight="1">
      <c r="A27" s="71"/>
      <c r="B27" s="59" t="str">
        <f>IF(RACRL_Rating_Type="Residential Aged Care","","Site Area (m²)")</f>
        <v>Site Area (m²)</v>
      </c>
      <c r="C27" s="324"/>
      <c r="D27" s="324"/>
      <c r="E27" s="324"/>
      <c r="F27" s="324"/>
      <c r="G27" s="348"/>
      <c r="I27" s="173"/>
    </row>
    <row r="28" spans="1:10" s="8" customFormat="1" ht="20.25" customHeight="1">
      <c r="A28" s="71"/>
      <c r="B28" s="59" t="str">
        <f>IF(RACRL_Rating_Type="Retirement Living","","Occupied Bed Days (OBD)")</f>
        <v>Occupied Bed Days (OBD)</v>
      </c>
      <c r="C28" s="9"/>
      <c r="D28" s="9"/>
      <c r="E28" s="9"/>
      <c r="F28" s="9"/>
      <c r="G28" s="349"/>
      <c r="H28" s="10"/>
      <c r="I28" s="173"/>
    </row>
    <row r="29" spans="1:10" s="8" customFormat="1" ht="20.25" customHeight="1">
      <c r="A29" s="71"/>
      <c r="B29" s="59" t="str">
        <f>IF(RACRL_Rating_Type="Residential Aged Care","","Total Number of Dwellings (e.g. Townhouses, Villas, Centrally Serviced Apartments etc ...)")</f>
        <v>Total Number of Dwellings (e.g. Townhouses, Villas, Centrally Serviced Apartments etc ...)</v>
      </c>
      <c r="C29" s="9"/>
      <c r="D29" s="9"/>
      <c r="E29" s="9"/>
      <c r="F29" s="9"/>
      <c r="G29" s="349"/>
      <c r="H29" s="10"/>
      <c r="I29" s="75"/>
    </row>
    <row r="30" spans="1:10" s="8" customFormat="1" ht="20.25" customHeight="1">
      <c r="A30" s="71"/>
      <c r="B30" s="59" t="str">
        <f>IF(RACRL_Rating_Type="Residential Aged Care","","Total Number of Centrally Serviced Apartments")</f>
        <v>Total Number of Centrally Serviced Apartments</v>
      </c>
      <c r="C30" s="9"/>
      <c r="D30" s="9"/>
      <c r="E30" s="9"/>
      <c r="F30" s="9"/>
      <c r="G30" s="349"/>
      <c r="H30" s="10"/>
      <c r="I30" s="75"/>
    </row>
    <row r="31" spans="1:10" s="8" customFormat="1" ht="20.25" customHeight="1">
      <c r="A31" s="71"/>
      <c r="B31" s="59" t="s">
        <v>1418</v>
      </c>
      <c r="C31" s="9"/>
      <c r="D31" s="9"/>
      <c r="E31" s="9"/>
      <c r="F31" s="9"/>
      <c r="G31" s="349"/>
      <c r="H31" s="10"/>
      <c r="I31" s="142" t="s">
        <v>21</v>
      </c>
    </row>
    <row r="32" spans="1:10" s="8" customFormat="1" ht="20.25" customHeight="1">
      <c r="A32" s="71"/>
      <c r="B32" s="350" t="s">
        <v>1419</v>
      </c>
      <c r="C32" s="9"/>
      <c r="D32" s="9"/>
      <c r="E32" s="9"/>
      <c r="F32" s="9"/>
      <c r="G32" s="349"/>
      <c r="H32" s="10"/>
      <c r="I32" s="142"/>
    </row>
    <row r="33" spans="1:10" s="8" customFormat="1" ht="20.25" customHeight="1">
      <c r="A33" s="71"/>
      <c r="B33" s="59" t="str">
        <f>IF(RACRL_Rating_Type="Residential Aged Care","","Presence of Onsite Unheated Pool(s)")</f>
        <v>Presence of Onsite Unheated Pool(s)</v>
      </c>
      <c r="C33" s="9"/>
      <c r="D33" s="9"/>
      <c r="E33" s="9"/>
      <c r="F33" s="9"/>
      <c r="G33" s="349"/>
      <c r="H33" s="10"/>
      <c r="I33" s="142" t="s">
        <v>21</v>
      </c>
    </row>
    <row r="34" spans="1:10" s="8" customFormat="1" ht="20.25" customHeight="1">
      <c r="A34" s="71"/>
      <c r="B34" s="350" t="str">
        <f>IF(RACRL_Rating_Type="Residential Aged Care","","Unheated Pool - Surface Area (m²)")</f>
        <v>Unheated Pool - Surface Area (m²)</v>
      </c>
      <c r="C34" s="9"/>
      <c r="D34" s="9"/>
      <c r="E34" s="9"/>
      <c r="F34" s="9"/>
      <c r="G34" s="349"/>
      <c r="H34" s="10"/>
      <c r="I34" s="142"/>
    </row>
    <row r="35" spans="1:10" s="8" customFormat="1" ht="20.25" customHeight="1">
      <c r="A35" s="71"/>
      <c r="B35" s="59" t="str">
        <f>IF(RACRL_Rating_Type="Retirement Living","","Presence of Heavy Laundry")</f>
        <v>Presence of Heavy Laundry</v>
      </c>
      <c r="C35" s="9"/>
      <c r="D35" s="9"/>
      <c r="E35" s="9"/>
      <c r="F35" s="9"/>
      <c r="G35" s="349"/>
      <c r="H35" s="10"/>
      <c r="I35" s="142" t="s">
        <v>21</v>
      </c>
    </row>
    <row r="36" spans="1:10" s="8" customFormat="1" ht="20.25" customHeight="1">
      <c r="A36" s="71"/>
      <c r="B36" s="59" t="str">
        <f>IF(RACRL_Rating_Type="Residential Aged Care","","Weekly Meals Cooked Onsite (Residents)")</f>
        <v>Weekly Meals Cooked Onsite (Residents)</v>
      </c>
      <c r="C36" s="9"/>
      <c r="D36" s="9"/>
      <c r="E36" s="9"/>
      <c r="F36" s="9"/>
      <c r="G36" s="349"/>
      <c r="H36" s="10"/>
      <c r="I36" s="172"/>
    </row>
    <row r="37" spans="1:10" s="8" customFormat="1" ht="20.25" customHeight="1">
      <c r="A37" s="71"/>
      <c r="B37" s="72" t="s">
        <v>1420</v>
      </c>
      <c r="C37" s="63"/>
      <c r="D37" s="63"/>
      <c r="E37" s="63"/>
      <c r="F37" s="63"/>
      <c r="G37" s="64"/>
      <c r="H37" s="10"/>
      <c r="I37" s="172"/>
    </row>
    <row r="38" spans="1:10" s="8" customFormat="1" ht="12.75" customHeight="1">
      <c r="A38" s="71"/>
      <c r="B38" s="11"/>
      <c r="C38" s="9"/>
      <c r="D38" s="9"/>
      <c r="E38" s="9"/>
      <c r="F38" s="9"/>
      <c r="G38" s="9"/>
      <c r="H38" s="10"/>
      <c r="I38" s="327"/>
    </row>
    <row r="39" spans="1:10" s="8" customFormat="1" ht="20.25" customHeight="1">
      <c r="A39" s="71"/>
      <c r="B39" s="302" t="s">
        <v>27</v>
      </c>
      <c r="C39" s="303"/>
      <c r="D39" s="303"/>
      <c r="E39" s="303"/>
      <c r="F39" s="303"/>
      <c r="G39" s="309" t="s">
        <v>28</v>
      </c>
      <c r="H39" s="12"/>
      <c r="I39" s="84"/>
    </row>
    <row r="40" spans="1:10" s="8" customFormat="1" ht="20.25" customHeight="1">
      <c r="A40" s="71"/>
      <c r="B40" s="304" t="str">
        <f>IF(SUM(RACRL_Elec_Percent,RACRL_Gas_Percent,RACRL_LPG_Percent,RACRL_Diesel_Percent)=1,"","ERROR: Percentage breakdown must total 100%")</f>
        <v>ERROR: Percentage breakdown must total 100%</v>
      </c>
      <c r="C40" s="13"/>
      <c r="D40" s="13"/>
      <c r="E40" s="13"/>
      <c r="F40" s="13"/>
      <c r="G40" s="305" t="s">
        <v>29</v>
      </c>
      <c r="H40" s="17"/>
      <c r="I40" s="84"/>
    </row>
    <row r="41" spans="1:10" s="8" customFormat="1" ht="20.25" customHeight="1">
      <c r="A41" s="71"/>
      <c r="B41" s="306"/>
      <c r="C41" s="13"/>
      <c r="D41" s="13"/>
      <c r="E41" s="13"/>
      <c r="F41" s="13"/>
      <c r="G41" s="305" t="s">
        <v>1289</v>
      </c>
      <c r="H41" s="17"/>
      <c r="I41" s="84"/>
    </row>
    <row r="42" spans="1:10" s="8" customFormat="1" ht="20.25" customHeight="1">
      <c r="A42" s="71"/>
      <c r="B42" s="307"/>
      <c r="C42" s="80"/>
      <c r="D42" s="80"/>
      <c r="E42" s="80"/>
      <c r="F42" s="80"/>
      <c r="G42" s="81" t="s">
        <v>30</v>
      </c>
      <c r="H42" s="17"/>
      <c r="I42" s="84"/>
    </row>
    <row r="43" spans="1:10" ht="13.9" thickBot="1">
      <c r="B43" s="328"/>
      <c r="C43" s="329"/>
      <c r="D43" s="329"/>
      <c r="E43" s="329"/>
      <c r="F43" s="329"/>
      <c r="G43" s="329"/>
      <c r="H43" s="329"/>
      <c r="I43" s="330"/>
    </row>
    <row r="44" spans="1:10" ht="18.600000000000001" thickTop="1" thickBot="1">
      <c r="B44" s="92" t="s">
        <v>31</v>
      </c>
      <c r="C44" s="87"/>
      <c r="D44" s="87"/>
      <c r="E44" s="87"/>
      <c r="F44" s="87"/>
      <c r="G44" s="87"/>
      <c r="H44" s="87"/>
      <c r="I44" s="91"/>
    </row>
    <row r="45" spans="1:10" ht="13.9" thickTop="1">
      <c r="G45" s="15"/>
      <c r="H45" s="15"/>
      <c r="J45" s="69"/>
    </row>
    <row r="46" spans="1:10" ht="18" customHeight="1">
      <c r="C46" s="16" t="s">
        <v>1421</v>
      </c>
      <c r="D46" s="16"/>
      <c r="G46" s="65">
        <f>INDEX(tbl_RACRL_Multi[],1,MATCH($J46,tbl_RACRL_Multi[#Headers],0))</f>
        <v>0</v>
      </c>
      <c r="H46" s="15"/>
      <c r="I46" s="334" t="s">
        <v>33</v>
      </c>
      <c r="J46" s="95" t="s">
        <v>474</v>
      </c>
    </row>
    <row r="47" spans="1:10" ht="18" customHeight="1">
      <c r="C47" s="16"/>
      <c r="D47" s="16"/>
      <c r="G47" s="15"/>
      <c r="H47" s="15"/>
      <c r="J47" s="96"/>
    </row>
    <row r="48" spans="1:10" ht="18" customHeight="1">
      <c r="C48" s="16" t="str">
        <f>CONCATENATE("Maximum Benchmarking Emissions at ",RACRL_Target_Energy, " Star NABERS Energy")</f>
        <v>Maximum Benchmarking Emissions at  Star NABERS Energy</v>
      </c>
      <c r="G48" s="65">
        <f>INDEX(tbl_RACRL_Multi[],1,MATCH($J48,tbl_RACRL_Multi[#Headers],0))</f>
        <v>0</v>
      </c>
      <c r="I48" s="334" t="s">
        <v>33</v>
      </c>
      <c r="J48" s="95" t="s">
        <v>35</v>
      </c>
    </row>
    <row r="49" spans="3:14" ht="18" customHeight="1">
      <c r="J49" s="95"/>
    </row>
    <row r="50" spans="3:14" ht="18" customHeight="1">
      <c r="J50" s="95"/>
    </row>
    <row r="51" spans="3:14" ht="18" customHeight="1">
      <c r="C51" s="29" t="s">
        <v>1422</v>
      </c>
      <c r="D51" s="68"/>
      <c r="E51" s="8"/>
      <c r="F51" s="8"/>
      <c r="G51" s="65" t="e">
        <f>INDEX(tbl_RACRL_Multi[],1,MATCH($J51,tbl_RACRL_Multi[#Headers],0))</f>
        <v>#DIV/0!</v>
      </c>
      <c r="H51" s="15"/>
      <c r="I51" s="334" t="s">
        <v>33</v>
      </c>
      <c r="J51" s="95" t="s">
        <v>37</v>
      </c>
    </row>
    <row r="52" spans="3:14" ht="18" customHeight="1">
      <c r="C52" s="16"/>
      <c r="G52" s="15"/>
      <c r="H52" s="15"/>
      <c r="J52" s="95"/>
    </row>
    <row r="53" spans="3:14" ht="18" customHeight="1">
      <c r="C53" s="29" t="s">
        <v>1423</v>
      </c>
      <c r="D53" s="68"/>
      <c r="E53" s="8"/>
      <c r="F53" s="8"/>
      <c r="G53" s="65" t="e">
        <f>INDEX(tbl_RACRL_Multi[],1,MATCH($J53,tbl_RACRL_Multi[#Headers],0))</f>
        <v>#DIV/0!</v>
      </c>
      <c r="H53" s="15"/>
      <c r="I53" s="334" t="s">
        <v>33</v>
      </c>
      <c r="J53" s="95" t="s">
        <v>39</v>
      </c>
    </row>
    <row r="54" spans="3:14" ht="18" customHeight="1">
      <c r="J54" s="95"/>
    </row>
    <row r="55" spans="3:14" ht="18" customHeight="1">
      <c r="J55" s="95"/>
    </row>
    <row r="56" spans="3:14" ht="18" customHeight="1">
      <c r="C56" s="16" t="str">
        <f>CONCATENATE("Benchmarking Emissions Intensity at ",RACRL_Target_Energy, " Star NABERS Energy")</f>
        <v>Benchmarking Emissions Intensity at  Star NABERS Energy</v>
      </c>
      <c r="G56" s="379" t="e">
        <f>INDEX(tbl_RACRL_Multi[],1,MATCH($J56,tbl_RACRL_Multi[#Headers],0))</f>
        <v>#DIV/0!</v>
      </c>
      <c r="I56" s="334" t="str">
        <f>IF(RACRL_Rating_Type="Residential Aged Care","kgCO2-e/OBD.year","kgCO2-e/m².year")</f>
        <v>kgCO2-e/m².year</v>
      </c>
      <c r="J56" s="95" t="s">
        <v>41</v>
      </c>
    </row>
    <row r="57" spans="3:14" ht="18" customHeight="1">
      <c r="G57" s="406"/>
      <c r="J57" s="95"/>
    </row>
    <row r="58" spans="3:14" ht="18" customHeight="1">
      <c r="C58" s="16" t="str">
        <f>CONCATENATE("Energy Intensity at ",RACRL_Target_Energy, " Star NABERS Energy")</f>
        <v>Energy Intensity at  Star NABERS Energy</v>
      </c>
      <c r="G58" s="379" t="e">
        <f>INDEX(tbl_RACRL_Multi[],1,MATCH($J58,tbl_RACRL_Multi[#Headers],0))</f>
        <v>#DIV/0!</v>
      </c>
      <c r="I58" s="334" t="str">
        <f>IF(RACRL_Rating_Type="Residential Aged Care","MJ/OBD.year","MJ/m².year")</f>
        <v>MJ/m².year</v>
      </c>
      <c r="J58" s="95" t="s">
        <v>43</v>
      </c>
    </row>
    <row r="59" spans="3:14" ht="18" customHeight="1">
      <c r="J59" s="95"/>
    </row>
    <row r="60" spans="3:14" ht="18" customHeight="1">
      <c r="J60" s="95"/>
    </row>
    <row r="61" spans="3:14" ht="18" customHeight="1">
      <c r="C61" s="76" t="s">
        <v>44</v>
      </c>
      <c r="D61" s="312"/>
      <c r="E61" s="8"/>
      <c r="F61" s="8"/>
      <c r="J61" s="96"/>
    </row>
    <row r="62" spans="3:14" ht="16.899999999999999">
      <c r="C62" s="66"/>
      <c r="D62" s="66"/>
      <c r="E62" s="8"/>
      <c r="F62" s="67" t="s">
        <v>45</v>
      </c>
      <c r="G62" s="65" t="e">
        <f>INDEX(tbl_RACRL_Multi[],1,MATCH($J62,tbl_RACRL_Multi[#Headers],0))</f>
        <v>#DIV/0!</v>
      </c>
      <c r="H62" s="335"/>
      <c r="I62" s="335" t="s">
        <v>46</v>
      </c>
      <c r="J62" s="95" t="s">
        <v>47</v>
      </c>
      <c r="K62" s="308"/>
    </row>
    <row r="63" spans="3:14" ht="16.899999999999999">
      <c r="C63" s="66"/>
      <c r="D63" s="66"/>
      <c r="E63" s="8"/>
      <c r="F63" s="67" t="s">
        <v>48</v>
      </c>
      <c r="G63" s="65" t="e">
        <f>INDEX(tbl_RACRL_Multi[],1,MATCH($J63,tbl_RACRL_Multi[#Headers],0))</f>
        <v>#DIV/0!</v>
      </c>
      <c r="H63" s="335"/>
      <c r="I63" s="335" t="s">
        <v>49</v>
      </c>
      <c r="J63" s="95" t="s">
        <v>50</v>
      </c>
      <c r="L63" s="308"/>
      <c r="N63" s="308"/>
    </row>
    <row r="64" spans="3:14" s="8" customFormat="1" ht="16.899999999999999">
      <c r="C64" s="66"/>
      <c r="D64" s="66"/>
      <c r="E64" s="1"/>
      <c r="F64" s="67" t="s">
        <v>51</v>
      </c>
      <c r="G64" s="65" t="e">
        <f>INDEX(tbl_RACRL_Multi[],1,MATCH($J64,tbl_RACRL_Multi[#Headers],0))</f>
        <v>#DIV/0!</v>
      </c>
      <c r="H64" s="335"/>
      <c r="I64" s="335" t="s">
        <v>52</v>
      </c>
      <c r="J64" s="97" t="s">
        <v>53</v>
      </c>
      <c r="K64" s="359"/>
    </row>
    <row r="65" spans="2:11" s="8" customFormat="1" ht="16.899999999999999">
      <c r="C65" s="66"/>
      <c r="D65" s="66"/>
      <c r="E65" s="1"/>
      <c r="F65" s="67" t="s">
        <v>1296</v>
      </c>
      <c r="G65" s="65" t="e">
        <f>INDEX(tbl_RACRL_Multi[],1,MATCH($J65,tbl_RACRL_Multi[#Headers],0))</f>
        <v>#DIV/0!</v>
      </c>
      <c r="H65" s="335"/>
      <c r="I65" s="335" t="s">
        <v>52</v>
      </c>
      <c r="J65" s="97" t="s">
        <v>864</v>
      </c>
    </row>
    <row r="66" spans="2:11" s="8" customFormat="1" ht="16.899999999999999">
      <c r="C66" s="66"/>
      <c r="D66" s="66"/>
      <c r="E66" s="1"/>
      <c r="F66" s="67" t="s">
        <v>1424</v>
      </c>
      <c r="G66" s="65" t="e">
        <f>INDEX(tbl_RACRL_Multi[],1,MATCH($J66,tbl_RACRL_Multi[#Headers],0))</f>
        <v>#DIV/0!</v>
      </c>
      <c r="H66" s="335"/>
      <c r="I66" s="335" t="s">
        <v>1425</v>
      </c>
      <c r="J66" s="97" t="s">
        <v>1426</v>
      </c>
      <c r="K66" s="359"/>
    </row>
    <row r="67" spans="2:11" s="32" customFormat="1" ht="13.9" thickBot="1">
      <c r="B67" s="93"/>
      <c r="C67" s="90"/>
      <c r="D67" s="90"/>
      <c r="E67" s="90"/>
      <c r="F67" s="90"/>
      <c r="G67" s="90"/>
      <c r="H67" s="90"/>
      <c r="I67" s="90"/>
      <c r="J67" s="95"/>
    </row>
    <row r="68" spans="2:11" s="32" customFormat="1" ht="13.9" thickTop="1">
      <c r="B68" s="33"/>
      <c r="C68" s="1"/>
      <c r="D68" s="1"/>
      <c r="E68" s="1"/>
      <c r="F68" s="1"/>
      <c r="G68" s="1"/>
      <c r="H68" s="1"/>
      <c r="I68" s="1"/>
      <c r="J68" s="95"/>
    </row>
    <row r="69" spans="2:11" s="32" customFormat="1" ht="18" customHeight="1">
      <c r="B69" s="33"/>
      <c r="C69" s="29" t="s">
        <v>1427</v>
      </c>
      <c r="D69" s="1"/>
      <c r="E69" s="28"/>
      <c r="F69" s="28"/>
      <c r="G69" s="336">
        <f>INDEX(tbl_RACRL_Multi[],1,MATCH($J69,tbl_RACRL_Multi[#Headers],0))</f>
        <v>0</v>
      </c>
      <c r="H69" s="30"/>
      <c r="I69" s="337" t="s">
        <v>54</v>
      </c>
      <c r="J69" s="95" t="s">
        <v>480</v>
      </c>
      <c r="K69" s="1"/>
    </row>
    <row r="70" spans="2:11" s="22" customFormat="1" ht="18" customHeight="1">
      <c r="B70" s="28"/>
      <c r="C70" s="83" t="str">
        <f>IF(ISNUMBER(#REF!),#REF!,"")</f>
        <v/>
      </c>
      <c r="D70" s="1"/>
      <c r="E70" s="83"/>
      <c r="F70" s="83"/>
      <c r="G70" s="34"/>
      <c r="H70" s="1"/>
      <c r="J70" s="98"/>
      <c r="K70" s="1"/>
    </row>
    <row r="71" spans="2:11" s="22" customFormat="1" ht="18" customHeight="1">
      <c r="B71" s="28"/>
      <c r="C71" s="31" t="str">
        <f>CONCATENATE("Maximum Water Consumption at ",RACRL_Target_Water, " Star NABERS Water")</f>
        <v>Maximum Water Consumption at  Star NABERS Water</v>
      </c>
      <c r="D71" s="1"/>
      <c r="E71" s="27"/>
      <c r="G71" s="336">
        <f>INDEX(tbl_RACRL_Multi[],1,MATCH($J71,tbl_RACRL_Multi[#Headers],0))</f>
        <v>0</v>
      </c>
      <c r="H71" s="1"/>
      <c r="I71" s="337" t="s">
        <v>54</v>
      </c>
      <c r="J71" s="97" t="s">
        <v>620</v>
      </c>
      <c r="K71" s="1"/>
    </row>
    <row r="72" spans="2:11" ht="18" customHeight="1">
      <c r="C72" s="83"/>
      <c r="D72" s="83"/>
      <c r="E72" s="83"/>
      <c r="F72" s="83"/>
      <c r="G72" s="34"/>
      <c r="H72" s="22"/>
      <c r="I72" s="22"/>
    </row>
    <row r="73" spans="2:11" ht="18" customHeight="1">
      <c r="C73" s="83"/>
      <c r="D73" s="83"/>
      <c r="E73" s="83"/>
      <c r="F73" s="83"/>
      <c r="G73" s="34"/>
      <c r="H73" s="22"/>
      <c r="I73" s="22"/>
    </row>
    <row r="74" spans="2:11" ht="18" customHeight="1">
      <c r="C74" s="23" t="str">
        <f>CONCATENATE("Water Intensity at ",RACRL_Target_Water, " Star NABERS Water")</f>
        <v>Water Intensity at  Star NABERS Water</v>
      </c>
      <c r="G74" s="381" t="e">
        <f>INDEX(tbl_RACRL_Multi[],1,MATCH($J74,tbl_RACRL_Multi[#Headers],0))</f>
        <v>#DIV/0!</v>
      </c>
      <c r="H74" s="32"/>
      <c r="I74" s="337" t="str">
        <f>IF(RACRL_Rating_Type="Residential Aged Care","kL/OBD.year","kL/m².year")</f>
        <v>kL/m².year</v>
      </c>
      <c r="J74" s="95" t="s">
        <v>57</v>
      </c>
    </row>
    <row r="76" spans="2:11" ht="13.9" thickBot="1"/>
    <row r="77" spans="2:11" ht="18.600000000000001" thickTop="1" thickBot="1">
      <c r="B77" s="92" t="s">
        <v>58</v>
      </c>
      <c r="C77" s="87"/>
      <c r="D77" s="87"/>
      <c r="E77" s="87"/>
      <c r="F77" s="87"/>
      <c r="G77" s="87"/>
      <c r="H77" s="87"/>
      <c r="I77" s="91"/>
    </row>
    <row r="78" spans="2:11" ht="13.9" thickTop="1"/>
    <row r="79" spans="2:11">
      <c r="B79" s="668" t="s">
        <v>59</v>
      </c>
      <c r="C79" s="669"/>
      <c r="D79" s="669"/>
      <c r="E79" s="669"/>
      <c r="F79" s="670" t="s">
        <v>60</v>
      </c>
      <c r="G79" s="356"/>
    </row>
    <row r="80" spans="2:11">
      <c r="B80" s="19"/>
      <c r="C80" s="20"/>
      <c r="D80" s="20"/>
      <c r="E80" s="20"/>
      <c r="F80" s="21" t="s">
        <v>61</v>
      </c>
      <c r="G80" s="356"/>
    </row>
    <row r="81" spans="2:10">
      <c r="B81" s="100"/>
      <c r="C81" s="20"/>
      <c r="D81" s="20"/>
      <c r="E81" s="20"/>
      <c r="F81" s="21" t="s">
        <v>62</v>
      </c>
      <c r="G81" s="356"/>
    </row>
    <row r="82" spans="2:10">
      <c r="B82" s="20"/>
      <c r="C82" s="20"/>
      <c r="D82" s="20"/>
      <c r="E82" s="20"/>
      <c r="F82" s="20" t="s">
        <v>869</v>
      </c>
      <c r="G82" s="356"/>
    </row>
    <row r="83" spans="2:10">
      <c r="B83" s="18"/>
      <c r="C83" s="99"/>
      <c r="D83" s="99"/>
      <c r="E83" s="99"/>
      <c r="F83" s="21" t="s">
        <v>63</v>
      </c>
      <c r="G83" s="357"/>
    </row>
    <row r="84" spans="2:10">
      <c r="B84" s="111" t="s">
        <v>64</v>
      </c>
      <c r="C84" s="103"/>
      <c r="D84" s="103"/>
      <c r="E84" s="103"/>
      <c r="F84" s="104" t="s">
        <v>65</v>
      </c>
      <c r="G84" s="170" t="e">
        <f>INDEX(tbl_RACRL_Multi[],1,MATCH($J84,tbl_RACRL_Multi[#Headers],0))</f>
        <v>#N/A</v>
      </c>
      <c r="J84" s="95" t="s">
        <v>483</v>
      </c>
    </row>
    <row r="85" spans="2:10">
      <c r="B85" s="114"/>
      <c r="C85" s="106"/>
      <c r="D85" s="106"/>
      <c r="E85" s="106"/>
      <c r="F85" s="107" t="s">
        <v>67</v>
      </c>
      <c r="G85" s="141" t="e">
        <f>INDEX(tbl_RACRL_Multi[],1,MATCH($J85,tbl_RACRL_Multi[#Headers],0))</f>
        <v>#N/A</v>
      </c>
      <c r="J85" s="95" t="s">
        <v>68</v>
      </c>
    </row>
    <row r="86" spans="2:10">
      <c r="B86" s="105"/>
      <c r="C86" s="106"/>
      <c r="D86" s="106"/>
      <c r="E86" s="106"/>
      <c r="F86" s="107" t="s">
        <v>69</v>
      </c>
      <c r="G86" s="141" t="e">
        <f>INDEX(tbl_RACRL_Multi[],1,MATCH($J86,tbl_RACRL_Multi[#Headers],0))</f>
        <v>#N/A</v>
      </c>
      <c r="H86" s="17"/>
      <c r="J86" s="95" t="s">
        <v>70</v>
      </c>
    </row>
    <row r="87" spans="2:10">
      <c r="B87" s="114"/>
      <c r="C87" s="106"/>
      <c r="D87" s="106"/>
      <c r="E87" s="106"/>
      <c r="F87" s="107" t="s">
        <v>71</v>
      </c>
      <c r="G87" s="170" t="e">
        <f>INDEX(tbl_RACRL_Multi[],1,MATCH($J87,tbl_RACRL_Multi[#Headers],0))</f>
        <v>#N/A</v>
      </c>
      <c r="H87" s="17"/>
      <c r="J87" s="95" t="s">
        <v>484</v>
      </c>
    </row>
    <row r="88" spans="2:10">
      <c r="B88" s="105"/>
      <c r="C88" s="106"/>
      <c r="D88" s="106"/>
      <c r="E88" s="106"/>
      <c r="F88" s="107" t="s">
        <v>73</v>
      </c>
      <c r="G88" s="141" t="e">
        <f>INDEX(tbl_RACRL_Multi[],1,MATCH($J88,tbl_RACRL_Multi[#Headers],0))</f>
        <v>#N/A</v>
      </c>
      <c r="H88" s="17"/>
      <c r="J88" s="95" t="s">
        <v>74</v>
      </c>
    </row>
    <row r="89" spans="2:10">
      <c r="B89" s="108"/>
      <c r="C89" s="109"/>
      <c r="D89" s="109"/>
      <c r="E89" s="109"/>
      <c r="F89" s="110" t="s">
        <v>75</v>
      </c>
      <c r="G89" s="141" t="e">
        <f>INDEX(tbl_RACRL_Multi[],1,MATCH($J89,tbl_RACRL_Multi[#Headers],0))</f>
        <v>#N/A</v>
      </c>
      <c r="H89" s="17"/>
      <c r="J89" s="95" t="s">
        <v>76</v>
      </c>
    </row>
    <row r="90" spans="2:10">
      <c r="B90" s="13"/>
      <c r="C90" s="13"/>
      <c r="D90" s="13"/>
      <c r="E90" s="65"/>
      <c r="F90" s="65"/>
      <c r="G90" s="65"/>
      <c r="H90" s="17"/>
    </row>
    <row r="92" spans="2:10">
      <c r="B92" s="112" t="s">
        <v>77</v>
      </c>
      <c r="C92" s="113"/>
      <c r="D92" s="113"/>
      <c r="E92" s="113"/>
      <c r="F92" s="102" t="s">
        <v>78</v>
      </c>
      <c r="G92" s="356"/>
    </row>
    <row r="93" spans="2:10">
      <c r="B93" s="115"/>
      <c r="C93" s="99"/>
      <c r="D93" s="99"/>
      <c r="E93" s="99"/>
      <c r="F93" s="101" t="s">
        <v>79</v>
      </c>
      <c r="G93" s="357"/>
      <c r="H93" s="12"/>
    </row>
    <row r="94" spans="2:10">
      <c r="B94" s="128" t="s">
        <v>80</v>
      </c>
      <c r="C94" s="129"/>
      <c r="D94" s="129"/>
      <c r="E94" s="129"/>
      <c r="F94" s="130" t="s">
        <v>1428</v>
      </c>
      <c r="G94" s="138" t="e">
        <f>INDEX(tbl_RACRL_Multi[],1,MATCH($J94,tbl_RACRL_Multi[#Headers],0))</f>
        <v>#DIV/0!</v>
      </c>
      <c r="I94" s="337" t="s">
        <v>82</v>
      </c>
      <c r="J94" s="95" t="s">
        <v>486</v>
      </c>
    </row>
    <row r="95" spans="2:10">
      <c r="B95" s="131"/>
      <c r="C95" s="132"/>
      <c r="D95" s="132"/>
      <c r="E95" s="132"/>
      <c r="F95" s="133" t="s">
        <v>84</v>
      </c>
      <c r="G95" s="139" t="e">
        <f>INDEX(tbl_RACRL_Multi[],1,MATCH($J95,tbl_RACRL_Multi[#Headers],0))</f>
        <v>#DIV/0!</v>
      </c>
      <c r="J95" s="95" t="s">
        <v>85</v>
      </c>
    </row>
    <row r="96" spans="2:10">
      <c r="B96" s="131"/>
      <c r="C96" s="132"/>
      <c r="D96" s="132"/>
      <c r="E96" s="132"/>
      <c r="F96" s="133" t="s">
        <v>86</v>
      </c>
      <c r="G96" s="139" t="e">
        <f>INDEX(tbl_RACRL_Multi[],1,MATCH($J96,tbl_RACRL_Multi[#Headers],0))</f>
        <v>#DIV/0!</v>
      </c>
      <c r="J96" s="95" t="s">
        <v>87</v>
      </c>
    </row>
    <row r="97" spans="2:10">
      <c r="B97" s="131"/>
      <c r="C97" s="132"/>
      <c r="D97" s="132"/>
      <c r="E97" s="132"/>
      <c r="F97" s="133" t="s">
        <v>1429</v>
      </c>
      <c r="G97" s="138" t="e">
        <f>INDEX(tbl_RACRL_Multi[],1,MATCH($J97,tbl_RACRL_Multi[#Headers],0))</f>
        <v>#DIV/0!</v>
      </c>
      <c r="I97" s="337" t="s">
        <v>82</v>
      </c>
      <c r="J97" s="95" t="s">
        <v>488</v>
      </c>
    </row>
    <row r="98" spans="2:10">
      <c r="B98" s="134"/>
      <c r="C98" s="132"/>
      <c r="D98" s="132"/>
      <c r="E98" s="132"/>
      <c r="F98" s="133" t="s">
        <v>90</v>
      </c>
      <c r="G98" s="139" t="e">
        <f>INDEX(tbl_RACRL_Multi[],1,MATCH($J98,tbl_RACRL_Multi[#Headers],0))</f>
        <v>#DIV/0!</v>
      </c>
      <c r="J98" s="95" t="s">
        <v>91</v>
      </c>
    </row>
    <row r="99" spans="2:10">
      <c r="B99" s="135"/>
      <c r="C99" s="136"/>
      <c r="D99" s="136"/>
      <c r="E99" s="136"/>
      <c r="F99" s="137" t="s">
        <v>92</v>
      </c>
      <c r="G99" s="139" t="e">
        <f>INDEX(tbl_RACRL_Multi[],1,MATCH($J99,tbl_RACRL_Multi[#Headers],0))</f>
        <v>#DIV/0!</v>
      </c>
      <c r="J99" s="95" t="s">
        <v>93</v>
      </c>
    </row>
  </sheetData>
  <sheetProtection algorithmName="SHA-512" hashValue="PKw493Aw4lPYuBzzj4ztzCGZaSG5FLkFSjCGLuxjIU7PILK5yuKQMaH12RjTeNu2Z2tCN0e61u5Ls8J3IE9/FA==" saltValue="aFEO3fT6079d4xjUmz/bbg==" spinCount="100000" sheet="1" objects="1" scenarios="1"/>
  <dataConsolidate/>
  <mergeCells count="3">
    <mergeCell ref="G3:I3"/>
    <mergeCell ref="B4:I4"/>
    <mergeCell ref="B7:I7"/>
  </mergeCells>
  <conditionalFormatting sqref="B32">
    <cfRule type="expression" dxfId="531" priority="3">
      <formula>$G$34="No"</formula>
    </cfRule>
  </conditionalFormatting>
  <conditionalFormatting sqref="B34">
    <cfRule type="expression" dxfId="530" priority="2">
      <formula>$G$36="No"</formula>
    </cfRule>
  </conditionalFormatting>
  <conditionalFormatting sqref="C70 E70:F70">
    <cfRule type="expression" dxfId="529" priority="1" stopIfTrue="1">
      <formula>($D$11="")</formula>
    </cfRule>
  </conditionalFormatting>
  <conditionalFormatting sqref="G79:G83">
    <cfRule type="expression" dxfId="528" priority="8" stopIfTrue="1">
      <formula>($B$24="ERROR: Percentage breakdown must total 100%")</formula>
    </cfRule>
  </conditionalFormatting>
  <conditionalFormatting sqref="G92:G93">
    <cfRule type="expression" dxfId="527" priority="6" stopIfTrue="1">
      <formula>($B$24="ERROR: Percentage breakdown must total 100%")</formula>
    </cfRule>
  </conditionalFormatting>
  <conditionalFormatting sqref="I26:I37">
    <cfRule type="expression" dxfId="526" priority="4">
      <formula>$B26=""</formula>
    </cfRule>
  </conditionalFormatting>
  <conditionalFormatting sqref="I39:I42">
    <cfRule type="expression" dxfId="525" priority="47">
      <formula>NOT(SUM($I$39:$I$42)=1)</formula>
    </cfRule>
  </conditionalFormatting>
  <dataValidations count="3">
    <dataValidation type="decimal" allowBlank="1" showInputMessage="1" showErrorMessage="1" sqref="E13:E14 I23 E17:E22 WFO17:WFO19 VVS17:VVS19 VLW17:VLW19 VCA17:VCA19 USE17:USE19 UII17:UII19 TYM17:TYM19 TOQ17:TOQ19 TEU17:TEU19 SUY17:SUY19 SLC17:SLC19 SBG17:SBG19 RRK17:RRK19 RHO17:RHO19 QXS17:QXS19 QNW17:QNW19 QEA17:QEA19 PUE17:PUE19 PKI17:PKI19 PAM17:PAM19 OQQ17:OQQ19 OGU17:OGU19 NWY17:NWY19 NNC17:NNC19 NDG17:NDG19 MTK17:MTK19 MJO17:MJO19 LZS17:LZS19 LPW17:LPW19 LGA17:LGA19 KWE17:KWE19 KMI17:KMI19 KCM17:KCM19 JSQ17:JSQ19 JIU17:JIU19 IYY17:IYY19 IPC17:IPC19 IFG17:IFG19 HVK17:HVK19 HLO17:HLO19 HBS17:HBS19 GRW17:GRW19 GIA17:GIA19 FYE17:FYE19 FOI17:FOI19 FEM17:FEM19 EUQ17:EUQ19 EKU17:EKU19 EAY17:EAY19 DRC17:DRC19 DHG17:DHG19 CXK17:CXK19 CNO17:CNO19 CDS17:CDS19 BTW17:BTW19 BKA17:BKA19 BAE17:BAE19 AQI17:AQI19 AGM17:AGM19 WQ17:WQ19 MU17:MU19 CY17:CY19 WPK17:WPK19" xr:uid="{2D6CDE4C-D1AC-4CF8-BF05-AADD4A3CEE4C}">
      <formula1>0</formula1>
      <formula2>6</formula2>
    </dataValidation>
    <dataValidation type="list" allowBlank="1" showInputMessage="1" showErrorMessage="1" sqref="E12" xr:uid="{96DE972D-BC3D-41AA-90DA-BC93B14DC8B6}">
      <formula1>List_RACRL_Rating_Type</formula1>
    </dataValidation>
    <dataValidation type="list" allowBlank="1" showInputMessage="1" showErrorMessage="1" sqref="I31 I33 I35" xr:uid="{2A7BB4EA-86E0-4278-8775-26919FD07AC6}">
      <formula1>List_RACRL_Pool_Laundry_Present</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166A0-1462-4DD4-9E07-FFD3C6D2A18B}">
  <sheetPr codeName="Sheet511"/>
  <dimension ref="A1:IC6"/>
  <sheetViews>
    <sheetView topLeftCell="CW1" zoomScale="70" zoomScaleNormal="70" workbookViewId="0">
      <pane ySplit="3" topLeftCell="A4" activePane="bottomLeft" state="frozen"/>
      <selection pane="bottomLeft" activeCell="DQ33" sqref="DQ33"/>
      <selection activeCell="G57" sqref="G57"/>
    </sheetView>
  </sheetViews>
  <sheetFormatPr defaultColWidth="9.28515625" defaultRowHeight="16.5" customHeight="1"/>
  <cols>
    <col min="1" max="1" width="19.28515625" style="36" customWidth="1"/>
    <col min="2" max="2" width="14" style="36" customWidth="1"/>
    <col min="3" max="3" width="24.7109375" style="36" customWidth="1"/>
    <col min="4" max="4" width="11.28515625" style="36" customWidth="1"/>
    <col min="5" max="5" width="9.28515625" style="36" bestFit="1" customWidth="1"/>
    <col min="6" max="7" width="18.5703125" style="36" customWidth="1"/>
    <col min="8" max="8" width="20.7109375" style="36" customWidth="1"/>
    <col min="9" max="9" width="12.28515625" style="36" customWidth="1"/>
    <col min="10" max="10" width="9.28515625" style="36"/>
    <col min="11" max="11" width="10.5703125" style="36" customWidth="1"/>
    <col min="12" max="12" width="13" style="36" customWidth="1"/>
    <col min="13" max="13" width="11.85546875" style="36" customWidth="1"/>
    <col min="14" max="15" width="18.7109375" style="36" customWidth="1"/>
    <col min="16" max="19" width="12.28515625" style="36" customWidth="1"/>
    <col min="20" max="20" width="16.5703125" style="70" bestFit="1" customWidth="1"/>
    <col min="21" max="21" width="16.28515625" style="70" bestFit="1" customWidth="1"/>
    <col min="22" max="22" width="17.28515625" style="70" bestFit="1" customWidth="1"/>
    <col min="23" max="24" width="16.28515625" style="70" bestFit="1" customWidth="1"/>
    <col min="25" max="26" width="17.7109375" style="36" bestFit="1" customWidth="1"/>
    <col min="27" max="27" width="16.28515625" style="36" bestFit="1" customWidth="1"/>
    <col min="28" max="28" width="16.85546875" style="36" bestFit="1" customWidth="1"/>
    <col min="29" max="33" width="14.7109375" style="36" customWidth="1"/>
    <col min="34" max="35" width="13" style="36" customWidth="1"/>
    <col min="36" max="36" width="17.7109375" style="36" customWidth="1"/>
    <col min="37" max="37" width="13.28515625" style="36" customWidth="1"/>
    <col min="38" max="38" width="12.28515625" style="36" bestFit="1" customWidth="1"/>
    <col min="39" max="39" width="9.28515625" style="70" bestFit="1" customWidth="1"/>
    <col min="40" max="40" width="9.28515625" style="70" customWidth="1"/>
    <col min="41" max="41" width="9.28515625" style="70" bestFit="1" customWidth="1"/>
    <col min="42" max="42" width="13" style="70" customWidth="1"/>
    <col min="43" max="43" width="13.7109375" style="70" customWidth="1"/>
    <col min="44" max="44" width="9.28515625" style="70"/>
    <col min="45" max="47" width="9.28515625" style="70" bestFit="1" customWidth="1"/>
    <col min="48" max="48" width="9.28515625" style="70" customWidth="1"/>
    <col min="49" max="50" width="9.28515625" style="70" bestFit="1" customWidth="1"/>
    <col min="51" max="51" width="9.28515625" style="70" customWidth="1"/>
    <col min="52" max="53" width="9.28515625" style="70" bestFit="1" customWidth="1"/>
    <col min="54" max="54" width="9.28515625" style="70" customWidth="1"/>
    <col min="55" max="55" width="9.28515625" style="70" bestFit="1" customWidth="1"/>
    <col min="56" max="59" width="9.28515625" style="36" customWidth="1"/>
    <col min="60" max="60" width="9.28515625" style="36" bestFit="1" customWidth="1"/>
    <col min="61" max="67" width="9.28515625" style="36" customWidth="1"/>
    <col min="68" max="68" width="9.28515625" style="36" bestFit="1" customWidth="1"/>
    <col min="69" max="73" width="9.28515625" style="36" customWidth="1"/>
    <col min="74" max="74" width="10.28515625" style="36" bestFit="1" customWidth="1"/>
    <col min="75" max="75" width="10.28515625" style="36" customWidth="1"/>
    <col min="76" max="76" width="9.28515625" style="36" bestFit="1" customWidth="1"/>
    <col min="77" max="77" width="9.28515625" style="70"/>
    <col min="78" max="78" width="9.28515625" style="36" customWidth="1"/>
    <col min="79" max="79" width="9.28515625" style="70" bestFit="1" customWidth="1"/>
    <col min="80" max="80" width="9.28515625" style="70" customWidth="1"/>
    <col min="81" max="83" width="9.28515625" style="70" bestFit="1" customWidth="1"/>
    <col min="84" max="84" width="9.28515625" style="36" bestFit="1" customWidth="1"/>
    <col min="85" max="85" width="9.28515625" style="36" customWidth="1"/>
    <col min="86" max="86" width="9.28515625" style="36" bestFit="1" customWidth="1"/>
    <col min="87" max="92" width="9.28515625" style="36" customWidth="1"/>
    <col min="93" max="102" width="12.7109375" style="36" customWidth="1"/>
    <col min="103" max="103" width="9.28515625" style="70" bestFit="1" customWidth="1"/>
    <col min="104" max="104" width="9.28515625" style="70" customWidth="1"/>
    <col min="105" max="105" width="14.7109375" style="70" bestFit="1" customWidth="1"/>
    <col min="106" max="106" width="11" style="70" bestFit="1" customWidth="1"/>
    <col min="107" max="107" width="13" style="70" bestFit="1" customWidth="1"/>
    <col min="108" max="108" width="11.85546875" style="70" bestFit="1" customWidth="1"/>
    <col min="109" max="109" width="13.85546875" style="70" bestFit="1" customWidth="1"/>
    <col min="110" max="110" width="11.85546875" style="70" bestFit="1" customWidth="1"/>
    <col min="111" max="111" width="13" style="70" bestFit="1" customWidth="1"/>
    <col min="112" max="112" width="13.28515625" style="70" bestFit="1" customWidth="1"/>
    <col min="113" max="113" width="12" style="70" bestFit="1" customWidth="1"/>
    <col min="114" max="114" width="11" style="70" bestFit="1" customWidth="1"/>
    <col min="115" max="115" width="11.85546875" style="70" bestFit="1" customWidth="1"/>
    <col min="116" max="117" width="13" style="70" bestFit="1" customWidth="1"/>
    <col min="118" max="118" width="13.28515625" style="70" bestFit="1" customWidth="1"/>
    <col min="119" max="120" width="9.28515625" style="70" bestFit="1" customWidth="1"/>
    <col min="121" max="121" width="9.28515625" style="70" customWidth="1"/>
    <col min="122" max="126" width="12.7109375" style="70" customWidth="1"/>
    <col min="127" max="130" width="12.7109375" style="36" customWidth="1"/>
    <col min="131" max="136" width="12.7109375" style="70" customWidth="1"/>
    <col min="137" max="149" width="12.7109375" style="36" customWidth="1"/>
    <col min="150" max="153" width="12.7109375" style="70" customWidth="1"/>
    <col min="154" max="214" width="12.7109375" style="36" customWidth="1"/>
    <col min="215" max="217" width="12.7109375" style="70" customWidth="1"/>
    <col min="218" max="218" width="9.28515625" style="70" bestFit="1" customWidth="1"/>
    <col min="219" max="219" width="9.28515625" style="70" customWidth="1"/>
    <col min="220" max="220" width="11.28515625" style="36" bestFit="1" customWidth="1"/>
    <col min="221" max="221" width="10.28515625" style="36" bestFit="1" customWidth="1"/>
    <col min="222" max="225" width="11.28515625" style="36" bestFit="1" customWidth="1"/>
    <col min="226" max="227" width="9.28515625" style="70"/>
    <col min="228" max="228" width="11.28515625" style="36" bestFit="1" customWidth="1"/>
    <col min="229" max="232" width="9.28515625" style="70"/>
    <col min="233" max="233" width="9.28515625" style="70" bestFit="1" customWidth="1"/>
    <col min="234" max="235" width="10.28515625" style="36" customWidth="1"/>
    <col min="236" max="237" width="9.28515625" style="70" bestFit="1" customWidth="1"/>
    <col min="238" max="242" width="9.28515625" style="36"/>
    <col min="243" max="243" width="11" style="36" customWidth="1"/>
    <col min="244" max="16384" width="9.28515625" style="36"/>
  </cols>
  <sheetData>
    <row r="1" spans="1:237" ht="16.5" customHeight="1">
      <c r="A1" s="201" t="s">
        <v>94</v>
      </c>
      <c r="B1" s="196"/>
      <c r="C1" s="268"/>
      <c r="D1" s="201" t="s">
        <v>489</v>
      </c>
      <c r="E1" s="195"/>
      <c r="F1" s="195"/>
      <c r="G1" s="195"/>
      <c r="H1" s="195"/>
      <c r="I1" s="195"/>
      <c r="J1" s="195"/>
      <c r="K1" s="195"/>
      <c r="L1" s="195"/>
      <c r="M1" s="195"/>
      <c r="N1" s="195"/>
      <c r="O1" s="195"/>
      <c r="P1" s="210" t="s">
        <v>96</v>
      </c>
      <c r="Q1" s="195"/>
      <c r="R1" s="195"/>
      <c r="S1" s="195"/>
      <c r="T1" s="204" t="s">
        <v>97</v>
      </c>
      <c r="U1" s="205"/>
      <c r="V1" s="205"/>
      <c r="W1" s="205"/>
      <c r="X1" s="205"/>
      <c r="Y1" s="205"/>
      <c r="Z1" s="205"/>
      <c r="AA1" s="205"/>
      <c r="AB1" s="205"/>
      <c r="AC1" s="205"/>
      <c r="AD1" s="205"/>
      <c r="AE1" s="205"/>
      <c r="AF1" s="206" t="s">
        <v>491</v>
      </c>
      <c r="AG1" s="531"/>
      <c r="AH1" s="383"/>
      <c r="AI1" s="203"/>
      <c r="AJ1" s="213" t="s">
        <v>492</v>
      </c>
      <c r="AK1" s="178"/>
      <c r="AL1" s="179"/>
      <c r="AM1" s="213"/>
      <c r="AN1" s="213"/>
      <c r="AO1" s="177" t="s">
        <v>99</v>
      </c>
      <c r="AP1" s="180"/>
      <c r="AQ1" s="265" t="s">
        <v>493</v>
      </c>
      <c r="AR1" s="94"/>
      <c r="AS1" s="94"/>
      <c r="AT1" s="94"/>
      <c r="AU1" s="94"/>
      <c r="AV1" s="310" t="s">
        <v>102</v>
      </c>
      <c r="AW1" s="191"/>
      <c r="AX1" s="191"/>
      <c r="AY1" s="192"/>
      <c r="AZ1" s="310" t="s">
        <v>103</v>
      </c>
      <c r="BA1" s="311"/>
      <c r="BB1" s="192"/>
      <c r="BC1" s="118" t="s">
        <v>1430</v>
      </c>
      <c r="BD1" s="117"/>
      <c r="BE1" s="117"/>
      <c r="BF1" s="116"/>
      <c r="BG1" s="265" t="s">
        <v>104</v>
      </c>
      <c r="BH1" s="94"/>
      <c r="BI1" s="94"/>
      <c r="BJ1" s="94"/>
      <c r="BK1" s="94"/>
      <c r="BL1" s="94"/>
      <c r="BM1" s="94"/>
      <c r="BN1" s="94"/>
      <c r="BO1" s="223" t="s">
        <v>105</v>
      </c>
      <c r="BP1" s="174"/>
      <c r="BQ1" s="174"/>
      <c r="BR1" s="174"/>
      <c r="BS1" s="174"/>
      <c r="BT1" s="174"/>
      <c r="BU1" s="174"/>
      <c r="BV1" s="174"/>
      <c r="BW1" s="174"/>
      <c r="BX1" s="174"/>
      <c r="BY1" s="208"/>
      <c r="BZ1" s="208"/>
      <c r="CA1" s="174"/>
      <c r="CB1" s="174"/>
      <c r="CC1" s="174"/>
      <c r="CD1" s="174"/>
      <c r="CE1" s="174"/>
      <c r="CF1" s="174"/>
      <c r="CG1" s="174"/>
      <c r="CH1" s="174"/>
      <c r="CI1" s="174"/>
      <c r="CJ1" s="174"/>
      <c r="CK1" s="174"/>
      <c r="CL1" s="174"/>
      <c r="CM1" s="290" t="s">
        <v>106</v>
      </c>
      <c r="CN1" s="208"/>
      <c r="CO1" s="208"/>
      <c r="CP1" s="208"/>
      <c r="CQ1" s="208"/>
      <c r="CR1" s="208"/>
      <c r="CS1" s="291"/>
      <c r="CT1" s="174"/>
      <c r="CU1" s="174"/>
      <c r="CV1" s="174"/>
      <c r="CW1" s="174"/>
      <c r="CX1" s="174"/>
      <c r="CY1" s="174"/>
      <c r="CZ1" s="174"/>
      <c r="DA1" s="118" t="s">
        <v>494</v>
      </c>
      <c r="DB1" s="117"/>
      <c r="DC1" s="117"/>
      <c r="DD1" s="117"/>
      <c r="DE1" s="117"/>
      <c r="DF1" s="117"/>
      <c r="DG1" s="117"/>
      <c r="DH1" s="117"/>
      <c r="DI1" s="117"/>
      <c r="DJ1" s="117"/>
      <c r="DK1" s="117"/>
      <c r="DL1" s="117"/>
      <c r="DM1" s="116"/>
      <c r="DN1" s="118" t="s">
        <v>108</v>
      </c>
      <c r="DO1" s="117"/>
      <c r="DP1" s="117"/>
      <c r="DQ1" s="174"/>
      <c r="DR1" s="207" t="s">
        <v>1008</v>
      </c>
      <c r="DS1" s="251"/>
      <c r="DT1" s="251"/>
      <c r="DU1" s="251"/>
      <c r="DV1" s="251"/>
      <c r="DW1" s="251"/>
      <c r="DX1" s="251"/>
      <c r="DY1" s="251"/>
      <c r="DZ1" s="251"/>
      <c r="EA1" s="251"/>
      <c r="EB1" s="251"/>
      <c r="EC1" s="251"/>
      <c r="ED1" s="197"/>
      <c r="EE1" s="251"/>
      <c r="EF1" s="251"/>
      <c r="EG1" s="251"/>
      <c r="EH1" s="251"/>
      <c r="EI1" s="251"/>
      <c r="EJ1" s="251"/>
      <c r="EK1" s="251"/>
      <c r="EL1" s="251"/>
      <c r="EM1" s="251"/>
      <c r="EN1" s="251"/>
      <c r="EO1" s="198"/>
      <c r="ET1" s="36"/>
      <c r="EU1" s="36"/>
      <c r="EV1" s="36"/>
      <c r="EW1" s="36"/>
      <c r="FB1" s="190"/>
      <c r="FC1" s="191"/>
      <c r="FD1" s="191"/>
      <c r="FE1" s="191"/>
      <c r="FF1" s="191"/>
      <c r="FG1" s="191"/>
      <c r="FH1" s="191"/>
      <c r="FI1" s="191"/>
      <c r="FJ1" s="191"/>
      <c r="FK1" s="191"/>
      <c r="FL1" s="191"/>
      <c r="FM1" s="191"/>
      <c r="FN1" s="197"/>
      <c r="FO1" s="251"/>
      <c r="FP1" s="251"/>
      <c r="FQ1" s="251"/>
      <c r="FR1" s="251"/>
      <c r="FS1" s="251"/>
      <c r="FT1" s="251"/>
      <c r="FU1" s="251"/>
      <c r="FV1" s="251"/>
      <c r="FW1" s="251"/>
      <c r="FX1" s="251"/>
      <c r="FY1" s="198"/>
      <c r="FZ1" s="251"/>
      <c r="GA1" s="251"/>
      <c r="GB1" s="251"/>
      <c r="GC1" s="251"/>
      <c r="GD1" s="251"/>
      <c r="GE1" s="251"/>
      <c r="GF1" s="251"/>
      <c r="GG1" s="251"/>
      <c r="GH1" s="251"/>
      <c r="GI1" s="251"/>
      <c r="GJ1" s="251"/>
      <c r="GK1" s="251"/>
      <c r="GL1" s="197"/>
      <c r="GM1" s="251"/>
      <c r="GN1" s="251"/>
      <c r="GO1" s="251"/>
      <c r="GP1" s="251"/>
      <c r="GQ1" s="251"/>
      <c r="GR1" s="251"/>
      <c r="GS1" s="251"/>
      <c r="GT1" s="251"/>
      <c r="GU1" s="251"/>
      <c r="GV1" s="251"/>
      <c r="GW1" s="198"/>
      <c r="GX1" s="119" t="s">
        <v>497</v>
      </c>
      <c r="GY1" s="117"/>
      <c r="GZ1" s="117"/>
      <c r="HA1" s="117"/>
      <c r="HB1" s="117"/>
      <c r="HC1" s="117"/>
      <c r="HD1" s="117"/>
      <c r="HE1" s="117"/>
      <c r="HF1" s="117"/>
      <c r="HG1" s="117"/>
      <c r="HH1" s="116"/>
      <c r="HI1" s="117"/>
      <c r="HJ1" s="119" t="s">
        <v>111</v>
      </c>
      <c r="HK1" s="119"/>
      <c r="HL1" s="119"/>
      <c r="HM1" s="119"/>
      <c r="HN1" s="117"/>
      <c r="HO1" s="117"/>
      <c r="HP1" s="117"/>
      <c r="HQ1" s="117"/>
      <c r="HR1" s="117"/>
      <c r="HS1" s="116"/>
      <c r="HT1" s="119" t="s">
        <v>112</v>
      </c>
      <c r="HU1" s="117"/>
      <c r="HV1" s="117"/>
      <c r="HW1" s="117"/>
      <c r="HX1" s="117"/>
      <c r="HY1" s="119"/>
      <c r="HZ1" s="117"/>
      <c r="IA1" s="116"/>
      <c r="IB1" s="36"/>
      <c r="IC1" s="36"/>
    </row>
    <row r="2" spans="1:237" ht="80.45" customHeight="1">
      <c r="A2" s="197"/>
      <c r="B2" s="198"/>
      <c r="C2" s="186" t="s">
        <v>113</v>
      </c>
      <c r="D2" s="181" t="s">
        <v>25</v>
      </c>
      <c r="E2" s="182" t="s">
        <v>1431</v>
      </c>
      <c r="F2" s="182" t="s">
        <v>1432</v>
      </c>
      <c r="G2" s="182" t="s">
        <v>1433</v>
      </c>
      <c r="H2" s="182" t="s">
        <v>1434</v>
      </c>
      <c r="I2" s="182" t="s">
        <v>1418</v>
      </c>
      <c r="J2" s="182" t="s">
        <v>1419</v>
      </c>
      <c r="K2" s="182" t="s">
        <v>1435</v>
      </c>
      <c r="L2" s="182" t="s">
        <v>1436</v>
      </c>
      <c r="M2" s="182" t="s">
        <v>1437</v>
      </c>
      <c r="N2" s="182" t="s">
        <v>1438</v>
      </c>
      <c r="O2" s="182" t="s">
        <v>1439</v>
      </c>
      <c r="P2" s="193" t="s">
        <v>116</v>
      </c>
      <c r="Q2" s="193" t="s">
        <v>117</v>
      </c>
      <c r="R2" s="286" t="s">
        <v>892</v>
      </c>
      <c r="S2" s="193" t="s">
        <v>118</v>
      </c>
      <c r="T2" s="36"/>
      <c r="U2" s="36"/>
      <c r="V2" s="36"/>
      <c r="W2" s="36"/>
      <c r="X2" s="36"/>
      <c r="AJ2" s="298" t="s">
        <v>60</v>
      </c>
      <c r="AK2" s="298" t="s">
        <v>61</v>
      </c>
      <c r="AL2" s="298" t="s">
        <v>62</v>
      </c>
      <c r="AM2" s="298" t="s">
        <v>869</v>
      </c>
      <c r="AN2" s="298" t="s">
        <v>119</v>
      </c>
      <c r="AO2" s="298" t="s">
        <v>120</v>
      </c>
      <c r="AP2" s="298" t="s">
        <v>121</v>
      </c>
      <c r="AQ2" s="227" t="s">
        <v>122</v>
      </c>
      <c r="AR2" s="228" t="s">
        <v>123</v>
      </c>
      <c r="AS2" s="228" t="s">
        <v>124</v>
      </c>
      <c r="AT2" s="228" t="s">
        <v>125</v>
      </c>
      <c r="AU2" s="229" t="s">
        <v>896</v>
      </c>
      <c r="AV2" s="230" t="s">
        <v>126</v>
      </c>
      <c r="AW2" s="230" t="s">
        <v>127</v>
      </c>
      <c r="AX2" s="230" t="s">
        <v>1440</v>
      </c>
      <c r="AY2" s="230" t="s">
        <v>128</v>
      </c>
      <c r="AZ2" s="250" t="s">
        <v>129</v>
      </c>
      <c r="BA2" s="230" t="s">
        <v>904</v>
      </c>
      <c r="BB2" s="231" t="s">
        <v>130</v>
      </c>
      <c r="BC2" s="257" t="s">
        <v>131</v>
      </c>
      <c r="BD2" s="239" t="s">
        <v>1441</v>
      </c>
      <c r="BE2" s="239" t="s">
        <v>132</v>
      </c>
      <c r="BF2" s="240" t="s">
        <v>133</v>
      </c>
      <c r="BG2" s="230" t="s">
        <v>134</v>
      </c>
      <c r="BH2" s="230" t="s">
        <v>135</v>
      </c>
      <c r="BI2" s="230" t="s">
        <v>905</v>
      </c>
      <c r="BJ2" s="230" t="s">
        <v>136</v>
      </c>
      <c r="BK2" s="230" t="s">
        <v>137</v>
      </c>
      <c r="BL2" s="230" t="s">
        <v>138</v>
      </c>
      <c r="BM2" s="230" t="s">
        <v>906</v>
      </c>
      <c r="BN2" s="230" t="s">
        <v>139</v>
      </c>
      <c r="BO2" s="224"/>
      <c r="BP2" s="225"/>
      <c r="BQ2" s="225"/>
      <c r="BR2" s="225"/>
      <c r="BS2" s="225"/>
      <c r="BT2" s="225"/>
      <c r="BU2" s="225"/>
      <c r="BV2" s="225"/>
      <c r="BW2" s="225"/>
      <c r="BX2" s="225"/>
      <c r="BY2" s="225"/>
      <c r="BZ2" s="225" t="s">
        <v>1442</v>
      </c>
      <c r="CA2" s="225" t="s">
        <v>1443</v>
      </c>
      <c r="CB2" s="225" t="s">
        <v>1444</v>
      </c>
      <c r="CC2" s="225" t="s">
        <v>1445</v>
      </c>
      <c r="CD2" s="225" t="s">
        <v>1446</v>
      </c>
      <c r="CE2" s="225" t="s">
        <v>1447</v>
      </c>
      <c r="CF2" s="225" t="s">
        <v>1448</v>
      </c>
      <c r="CG2" s="225" t="s">
        <v>1449</v>
      </c>
      <c r="CH2" s="225" t="s">
        <v>1450</v>
      </c>
      <c r="CI2" s="225" t="s">
        <v>1451</v>
      </c>
      <c r="CJ2" s="225" t="s">
        <v>1452</v>
      </c>
      <c r="CK2" s="225" t="s">
        <v>1453</v>
      </c>
      <c r="CL2" s="225" t="s">
        <v>1454</v>
      </c>
      <c r="CM2" s="187" t="s">
        <v>1035</v>
      </c>
      <c r="CN2" s="175"/>
      <c r="CO2" s="175"/>
      <c r="CP2" s="175"/>
      <c r="CQ2" s="175" t="s">
        <v>1455</v>
      </c>
      <c r="CR2" s="175" t="s">
        <v>1456</v>
      </c>
      <c r="CS2" s="175" t="s">
        <v>1444</v>
      </c>
      <c r="CT2" s="175" t="s">
        <v>1446</v>
      </c>
      <c r="CU2" s="175" t="s">
        <v>1449</v>
      </c>
      <c r="CV2" s="175" t="s">
        <v>1457</v>
      </c>
      <c r="CW2" s="175" t="s">
        <v>1458</v>
      </c>
      <c r="CX2" s="175" t="s">
        <v>1459</v>
      </c>
      <c r="CY2" s="175" t="s">
        <v>1453</v>
      </c>
      <c r="CZ2" s="176" t="s">
        <v>1448</v>
      </c>
      <c r="DA2" s="233" t="s">
        <v>530</v>
      </c>
      <c r="DB2" s="233"/>
      <c r="DC2" s="233"/>
      <c r="DD2" s="233"/>
      <c r="DE2" s="233"/>
      <c r="DF2" s="233"/>
      <c r="DG2" s="233"/>
      <c r="DH2" s="233"/>
      <c r="DI2" s="233"/>
      <c r="DJ2" s="233"/>
      <c r="DK2" s="233"/>
      <c r="DL2" s="233"/>
      <c r="DM2" s="234"/>
      <c r="DN2" s="187" t="s">
        <v>1460</v>
      </c>
      <c r="DO2" s="235"/>
      <c r="DP2" s="235"/>
      <c r="DQ2" s="235"/>
      <c r="DR2" s="282" t="s">
        <v>531</v>
      </c>
      <c r="DS2" s="283" t="s">
        <v>532</v>
      </c>
      <c r="DT2" s="283" t="s">
        <v>533</v>
      </c>
      <c r="DU2" s="283" t="s">
        <v>534</v>
      </c>
      <c r="DV2" s="283" t="s">
        <v>535</v>
      </c>
      <c r="DW2" s="283" t="s">
        <v>536</v>
      </c>
      <c r="DX2" s="283" t="s">
        <v>537</v>
      </c>
      <c r="DY2" s="283" t="s">
        <v>538</v>
      </c>
      <c r="DZ2" s="283" t="s">
        <v>539</v>
      </c>
      <c r="EA2" s="283" t="s">
        <v>540</v>
      </c>
      <c r="EB2" s="283" t="s">
        <v>541</v>
      </c>
      <c r="EC2" s="283" t="s">
        <v>542</v>
      </c>
      <c r="ED2" s="241" t="s">
        <v>191</v>
      </c>
      <c r="EE2" s="242" t="s">
        <v>192</v>
      </c>
      <c r="EF2" s="242" t="s">
        <v>193</v>
      </c>
      <c r="EG2" s="242" t="s">
        <v>194</v>
      </c>
      <c r="EH2" s="242" t="s">
        <v>195</v>
      </c>
      <c r="EI2" s="242" t="s">
        <v>196</v>
      </c>
      <c r="EJ2" s="242" t="s">
        <v>197</v>
      </c>
      <c r="EK2" s="242" t="s">
        <v>198</v>
      </c>
      <c r="EL2" s="242" t="s">
        <v>199</v>
      </c>
      <c r="EM2" s="242" t="s">
        <v>200</v>
      </c>
      <c r="EN2" s="242" t="s">
        <v>201</v>
      </c>
      <c r="EO2" s="242" t="s">
        <v>202</v>
      </c>
      <c r="EP2" s="241" t="s">
        <v>203</v>
      </c>
      <c r="EQ2" s="242" t="s">
        <v>204</v>
      </c>
      <c r="ER2" s="242" t="s">
        <v>205</v>
      </c>
      <c r="ES2" s="242" t="s">
        <v>206</v>
      </c>
      <c r="ET2" s="242" t="s">
        <v>207</v>
      </c>
      <c r="EU2" s="242" t="s">
        <v>208</v>
      </c>
      <c r="EV2" s="242" t="s">
        <v>209</v>
      </c>
      <c r="EW2" s="242" t="s">
        <v>210</v>
      </c>
      <c r="EX2" s="242" t="s">
        <v>211</v>
      </c>
      <c r="EY2" s="242" t="s">
        <v>212</v>
      </c>
      <c r="EZ2" s="242" t="s">
        <v>213</v>
      </c>
      <c r="FA2" s="242" t="s">
        <v>214</v>
      </c>
      <c r="FB2" s="241" t="s">
        <v>215</v>
      </c>
      <c r="FC2" s="242" t="s">
        <v>216</v>
      </c>
      <c r="FD2" s="242" t="s">
        <v>217</v>
      </c>
      <c r="FE2" s="242" t="s">
        <v>218</v>
      </c>
      <c r="FF2" s="242" t="s">
        <v>219</v>
      </c>
      <c r="FG2" s="242" t="s">
        <v>220</v>
      </c>
      <c r="FH2" s="242" t="s">
        <v>221</v>
      </c>
      <c r="FI2" s="242" t="s">
        <v>222</v>
      </c>
      <c r="FJ2" s="242" t="s">
        <v>223</v>
      </c>
      <c r="FK2" s="242" t="s">
        <v>224</v>
      </c>
      <c r="FL2" s="242" t="s">
        <v>225</v>
      </c>
      <c r="FM2" s="243" t="s">
        <v>226</v>
      </c>
      <c r="FN2" s="241" t="s">
        <v>227</v>
      </c>
      <c r="FO2" s="242" t="s">
        <v>228</v>
      </c>
      <c r="FP2" s="242" t="s">
        <v>229</v>
      </c>
      <c r="FQ2" s="242" t="s">
        <v>230</v>
      </c>
      <c r="FR2" s="242" t="s">
        <v>231</v>
      </c>
      <c r="FS2" s="242" t="s">
        <v>232</v>
      </c>
      <c r="FT2" s="242" t="s">
        <v>233</v>
      </c>
      <c r="FU2" s="242" t="s">
        <v>234</v>
      </c>
      <c r="FV2" s="242" t="s">
        <v>235</v>
      </c>
      <c r="FW2" s="242" t="s">
        <v>236</v>
      </c>
      <c r="FX2" s="242" t="s">
        <v>237</v>
      </c>
      <c r="FY2" s="242" t="s">
        <v>238</v>
      </c>
      <c r="FZ2" s="241" t="s">
        <v>936</v>
      </c>
      <c r="GA2" s="242" t="s">
        <v>937</v>
      </c>
      <c r="GB2" s="242" t="s">
        <v>938</v>
      </c>
      <c r="GC2" s="242" t="s">
        <v>939</v>
      </c>
      <c r="GD2" s="242" t="s">
        <v>940</v>
      </c>
      <c r="GE2" s="242" t="s">
        <v>941</v>
      </c>
      <c r="GF2" s="242" t="s">
        <v>942</v>
      </c>
      <c r="GG2" s="242" t="s">
        <v>943</v>
      </c>
      <c r="GH2" s="242" t="s">
        <v>944</v>
      </c>
      <c r="GI2" s="242" t="s">
        <v>945</v>
      </c>
      <c r="GJ2" s="242" t="s">
        <v>946</v>
      </c>
      <c r="GK2" s="242" t="s">
        <v>947</v>
      </c>
      <c r="GL2" s="241" t="s">
        <v>239</v>
      </c>
      <c r="GM2" s="242" t="s">
        <v>240</v>
      </c>
      <c r="GN2" s="242" t="s">
        <v>241</v>
      </c>
      <c r="GO2" s="242" t="s">
        <v>242</v>
      </c>
      <c r="GP2" s="242" t="s">
        <v>243</v>
      </c>
      <c r="GQ2" s="242" t="s">
        <v>244</v>
      </c>
      <c r="GR2" s="242" t="s">
        <v>245</v>
      </c>
      <c r="GS2" s="242" t="s">
        <v>246</v>
      </c>
      <c r="GT2" s="242" t="s">
        <v>247</v>
      </c>
      <c r="GU2" s="242" t="s">
        <v>248</v>
      </c>
      <c r="GV2" s="242" t="s">
        <v>249</v>
      </c>
      <c r="GW2" s="243" t="s">
        <v>250</v>
      </c>
      <c r="GX2" s="175" t="s">
        <v>287</v>
      </c>
      <c r="GY2" s="175" t="s">
        <v>288</v>
      </c>
      <c r="GZ2" s="175" t="s">
        <v>289</v>
      </c>
      <c r="HA2" s="175" t="s">
        <v>290</v>
      </c>
      <c r="HB2" s="175" t="s">
        <v>291</v>
      </c>
      <c r="HC2" s="175" t="s">
        <v>292</v>
      </c>
      <c r="HD2" s="175" t="s">
        <v>293</v>
      </c>
      <c r="HE2" s="175" t="s">
        <v>294</v>
      </c>
      <c r="HF2" s="175" t="s">
        <v>295</v>
      </c>
      <c r="HG2" s="175" t="s">
        <v>296</v>
      </c>
      <c r="HH2" s="175" t="s">
        <v>297</v>
      </c>
      <c r="HI2" s="175" t="s">
        <v>298</v>
      </c>
      <c r="HJ2" s="224" t="s">
        <v>299</v>
      </c>
      <c r="HK2" s="225" t="s">
        <v>300</v>
      </c>
      <c r="HL2" s="225" t="s">
        <v>555</v>
      </c>
      <c r="HM2" s="225" t="s">
        <v>556</v>
      </c>
      <c r="HN2" s="225" t="s">
        <v>557</v>
      </c>
      <c r="HO2" s="225" t="s">
        <v>558</v>
      </c>
      <c r="HP2" s="225" t="s">
        <v>559</v>
      </c>
      <c r="HQ2" s="225" t="s">
        <v>560</v>
      </c>
      <c r="HR2" s="225" t="s">
        <v>561</v>
      </c>
      <c r="HS2" s="226" t="s">
        <v>562</v>
      </c>
      <c r="HT2" s="149" t="s">
        <v>563</v>
      </c>
      <c r="HU2" s="148" t="s">
        <v>564</v>
      </c>
      <c r="HV2" s="149" t="s">
        <v>565</v>
      </c>
      <c r="HW2" s="148" t="s">
        <v>566</v>
      </c>
      <c r="HX2" s="175"/>
      <c r="HY2" s="175"/>
      <c r="HZ2" s="175"/>
      <c r="IA2" s="176"/>
      <c r="IB2" s="36"/>
      <c r="IC2" s="36"/>
    </row>
    <row r="3" spans="1:237" ht="80.45" customHeight="1">
      <c r="A3" s="199" t="s">
        <v>314</v>
      </c>
      <c r="B3" s="200" t="s">
        <v>315</v>
      </c>
      <c r="C3" s="183" t="s">
        <v>113</v>
      </c>
      <c r="D3" s="183" t="s">
        <v>316</v>
      </c>
      <c r="E3" s="184" t="s">
        <v>1461</v>
      </c>
      <c r="F3" s="184" t="s">
        <v>1364</v>
      </c>
      <c r="G3" s="184" t="s">
        <v>1462</v>
      </c>
      <c r="H3" s="184" t="s">
        <v>1463</v>
      </c>
      <c r="I3" s="184" t="s">
        <v>1464</v>
      </c>
      <c r="J3" s="184" t="s">
        <v>750</v>
      </c>
      <c r="K3" s="184" t="s">
        <v>1465</v>
      </c>
      <c r="L3" s="184" t="s">
        <v>1466</v>
      </c>
      <c r="M3" s="184" t="s">
        <v>1467</v>
      </c>
      <c r="N3" s="184" t="s">
        <v>1468</v>
      </c>
      <c r="O3" s="184" t="s">
        <v>1469</v>
      </c>
      <c r="P3" s="194" t="s">
        <v>116</v>
      </c>
      <c r="Q3" s="194" t="s">
        <v>117</v>
      </c>
      <c r="R3" s="194" t="s">
        <v>892</v>
      </c>
      <c r="S3" s="184" t="s">
        <v>118</v>
      </c>
      <c r="T3" s="212" t="s">
        <v>581</v>
      </c>
      <c r="U3" s="188" t="s">
        <v>474</v>
      </c>
      <c r="V3" s="188" t="s">
        <v>35</v>
      </c>
      <c r="W3" s="188" t="s">
        <v>41</v>
      </c>
      <c r="X3" s="188" t="s">
        <v>43</v>
      </c>
      <c r="Y3" s="188" t="s">
        <v>37</v>
      </c>
      <c r="Z3" s="188" t="s">
        <v>39</v>
      </c>
      <c r="AA3" s="188" t="s">
        <v>47</v>
      </c>
      <c r="AB3" s="188" t="s">
        <v>50</v>
      </c>
      <c r="AC3" s="188" t="s">
        <v>864</v>
      </c>
      <c r="AD3" s="188" t="s">
        <v>1426</v>
      </c>
      <c r="AE3" s="189" t="s">
        <v>53</v>
      </c>
      <c r="AF3" s="188" t="s">
        <v>582</v>
      </c>
      <c r="AG3" s="188" t="s">
        <v>480</v>
      </c>
      <c r="AH3" s="188" t="s">
        <v>55</v>
      </c>
      <c r="AI3" s="189" t="s">
        <v>57</v>
      </c>
      <c r="AJ3" s="216" t="s">
        <v>321</v>
      </c>
      <c r="AK3" s="150" t="s">
        <v>322</v>
      </c>
      <c r="AL3" s="150" t="s">
        <v>323</v>
      </c>
      <c r="AM3" s="150" t="s">
        <v>851</v>
      </c>
      <c r="AN3" s="150" t="s">
        <v>324</v>
      </c>
      <c r="AO3" s="150" t="s">
        <v>325</v>
      </c>
      <c r="AP3" s="150" t="s">
        <v>326</v>
      </c>
      <c r="AQ3" s="287" t="s">
        <v>327</v>
      </c>
      <c r="AR3" s="288" t="s">
        <v>328</v>
      </c>
      <c r="AS3" s="288" t="s">
        <v>124</v>
      </c>
      <c r="AT3" s="288" t="s">
        <v>125</v>
      </c>
      <c r="AU3" s="289" t="s">
        <v>896</v>
      </c>
      <c r="AV3" s="239" t="s">
        <v>332</v>
      </c>
      <c r="AW3" s="239" t="s">
        <v>333</v>
      </c>
      <c r="AX3" s="239" t="s">
        <v>1098</v>
      </c>
      <c r="AY3" s="239" t="s">
        <v>334</v>
      </c>
      <c r="AZ3" s="257" t="s">
        <v>335</v>
      </c>
      <c r="BA3" s="239" t="s">
        <v>975</v>
      </c>
      <c r="BB3" s="240" t="s">
        <v>336</v>
      </c>
      <c r="BC3" s="257" t="s">
        <v>337</v>
      </c>
      <c r="BD3" s="239" t="s">
        <v>1470</v>
      </c>
      <c r="BE3" s="239" t="s">
        <v>338</v>
      </c>
      <c r="BF3" s="240" t="s">
        <v>583</v>
      </c>
      <c r="BG3" s="239" t="s">
        <v>340</v>
      </c>
      <c r="BH3" s="239" t="s">
        <v>341</v>
      </c>
      <c r="BI3" s="239" t="s">
        <v>976</v>
      </c>
      <c r="BJ3" s="239" t="s">
        <v>342</v>
      </c>
      <c r="BK3" s="239" t="s">
        <v>343</v>
      </c>
      <c r="BL3" s="239" t="s">
        <v>344</v>
      </c>
      <c r="BM3" s="239" t="s">
        <v>977</v>
      </c>
      <c r="BN3" s="239" t="s">
        <v>345</v>
      </c>
      <c r="BO3" s="248" t="s">
        <v>1471</v>
      </c>
      <c r="BP3" s="249" t="s">
        <v>1472</v>
      </c>
      <c r="BQ3" s="249" t="s">
        <v>1473</v>
      </c>
      <c r="BR3" s="249" t="s">
        <v>1474</v>
      </c>
      <c r="BS3" s="249" t="s">
        <v>1475</v>
      </c>
      <c r="BT3" s="249" t="s">
        <v>1476</v>
      </c>
      <c r="BU3" s="249" t="s">
        <v>1477</v>
      </c>
      <c r="BV3" s="249" t="s">
        <v>1478</v>
      </c>
      <c r="BW3" s="249" t="s">
        <v>1479</v>
      </c>
      <c r="BX3" s="249" t="s">
        <v>1480</v>
      </c>
      <c r="BY3" s="249" t="s">
        <v>1481</v>
      </c>
      <c r="BZ3" s="249" t="s">
        <v>1482</v>
      </c>
      <c r="CA3" s="249" t="s">
        <v>1483</v>
      </c>
      <c r="CB3" s="249" t="s">
        <v>1484</v>
      </c>
      <c r="CC3" s="249" t="s">
        <v>1485</v>
      </c>
      <c r="CD3" s="249" t="s">
        <v>1486</v>
      </c>
      <c r="CE3" s="249" t="s">
        <v>1487</v>
      </c>
      <c r="CF3" s="249" t="s">
        <v>1488</v>
      </c>
      <c r="CG3" s="249" t="s">
        <v>1489</v>
      </c>
      <c r="CH3" s="249" t="s">
        <v>1490</v>
      </c>
      <c r="CI3" s="249" t="s">
        <v>1491</v>
      </c>
      <c r="CJ3" s="249" t="s">
        <v>1492</v>
      </c>
      <c r="CK3" s="249" t="s">
        <v>1493</v>
      </c>
      <c r="CL3" s="249" t="s">
        <v>1494</v>
      </c>
      <c r="CM3" s="293" t="s">
        <v>1495</v>
      </c>
      <c r="CN3" s="294" t="s">
        <v>1496</v>
      </c>
      <c r="CO3" s="294" t="s">
        <v>1497</v>
      </c>
      <c r="CP3" s="294" t="s">
        <v>1498</v>
      </c>
      <c r="CQ3" s="294" t="s">
        <v>1499</v>
      </c>
      <c r="CR3" s="294" t="s">
        <v>1500</v>
      </c>
      <c r="CS3" s="294" t="s">
        <v>1501</v>
      </c>
      <c r="CT3" s="294" t="s">
        <v>1502</v>
      </c>
      <c r="CU3" s="294" t="s">
        <v>1503</v>
      </c>
      <c r="CV3" s="294" t="s">
        <v>1504</v>
      </c>
      <c r="CW3" s="294" t="s">
        <v>1505</v>
      </c>
      <c r="CX3" s="294" t="s">
        <v>1506</v>
      </c>
      <c r="CY3" s="294" t="s">
        <v>1507</v>
      </c>
      <c r="CZ3" s="295" t="s">
        <v>1508</v>
      </c>
      <c r="DA3" s="242" t="s">
        <v>615</v>
      </c>
      <c r="DB3" s="242" t="s">
        <v>616</v>
      </c>
      <c r="DC3" s="242" t="s">
        <v>372</v>
      </c>
      <c r="DD3" s="242" t="s">
        <v>1387</v>
      </c>
      <c r="DE3" s="242" t="s">
        <v>373</v>
      </c>
      <c r="DF3" s="242" t="s">
        <v>374</v>
      </c>
      <c r="DG3" s="242" t="s">
        <v>375</v>
      </c>
      <c r="DH3" s="242" t="s">
        <v>376</v>
      </c>
      <c r="DI3" s="242" t="s">
        <v>997</v>
      </c>
      <c r="DJ3" s="242" t="s">
        <v>377</v>
      </c>
      <c r="DK3" s="242" t="s">
        <v>1509</v>
      </c>
      <c r="DL3" s="242" t="s">
        <v>378</v>
      </c>
      <c r="DM3" s="243" t="s">
        <v>379</v>
      </c>
      <c r="DN3" s="244" t="s">
        <v>618</v>
      </c>
      <c r="DO3" s="245" t="s">
        <v>619</v>
      </c>
      <c r="DP3" s="245" t="s">
        <v>620</v>
      </c>
      <c r="DQ3" s="377" t="s">
        <v>621</v>
      </c>
      <c r="DR3" s="371" t="s">
        <v>622</v>
      </c>
      <c r="DS3" s="370" t="s">
        <v>623</v>
      </c>
      <c r="DT3" s="370" t="s">
        <v>624</v>
      </c>
      <c r="DU3" s="370" t="s">
        <v>625</v>
      </c>
      <c r="DV3" s="370" t="s">
        <v>626</v>
      </c>
      <c r="DW3" s="370" t="s">
        <v>627</v>
      </c>
      <c r="DX3" s="370" t="s">
        <v>628</v>
      </c>
      <c r="DY3" s="370" t="s">
        <v>629</v>
      </c>
      <c r="DZ3" s="370" t="s">
        <v>630</v>
      </c>
      <c r="EA3" s="370" t="s">
        <v>631</v>
      </c>
      <c r="EB3" s="370" t="s">
        <v>632</v>
      </c>
      <c r="EC3" s="370" t="s">
        <v>633</v>
      </c>
      <c r="ED3" s="367" t="s">
        <v>406</v>
      </c>
      <c r="EE3" s="366" t="s">
        <v>407</v>
      </c>
      <c r="EF3" s="366" t="s">
        <v>408</v>
      </c>
      <c r="EG3" s="366" t="s">
        <v>409</v>
      </c>
      <c r="EH3" s="366" t="s">
        <v>410</v>
      </c>
      <c r="EI3" s="366" t="s">
        <v>411</v>
      </c>
      <c r="EJ3" s="366" t="s">
        <v>412</v>
      </c>
      <c r="EK3" s="366" t="s">
        <v>413</v>
      </c>
      <c r="EL3" s="366" t="s">
        <v>414</v>
      </c>
      <c r="EM3" s="366" t="s">
        <v>415</v>
      </c>
      <c r="EN3" s="366" t="s">
        <v>416</v>
      </c>
      <c r="EO3" s="366" t="s">
        <v>417</v>
      </c>
      <c r="EP3" s="367" t="s">
        <v>203</v>
      </c>
      <c r="EQ3" s="366" t="s">
        <v>204</v>
      </c>
      <c r="ER3" s="366" t="s">
        <v>205</v>
      </c>
      <c r="ES3" s="366" t="s">
        <v>206</v>
      </c>
      <c r="ET3" s="366" t="s">
        <v>207</v>
      </c>
      <c r="EU3" s="366" t="s">
        <v>208</v>
      </c>
      <c r="EV3" s="366" t="s">
        <v>209</v>
      </c>
      <c r="EW3" s="366" t="s">
        <v>210</v>
      </c>
      <c r="EX3" s="366" t="s">
        <v>211</v>
      </c>
      <c r="EY3" s="366" t="s">
        <v>212</v>
      </c>
      <c r="EZ3" s="366" t="s">
        <v>213</v>
      </c>
      <c r="FA3" s="366" t="s">
        <v>214</v>
      </c>
      <c r="FB3" s="241" t="s">
        <v>418</v>
      </c>
      <c r="FC3" s="242" t="s">
        <v>419</v>
      </c>
      <c r="FD3" s="242" t="s">
        <v>420</v>
      </c>
      <c r="FE3" s="242" t="s">
        <v>421</v>
      </c>
      <c r="FF3" s="242" t="s">
        <v>422</v>
      </c>
      <c r="FG3" s="242" t="s">
        <v>423</v>
      </c>
      <c r="FH3" s="242" t="s">
        <v>424</v>
      </c>
      <c r="FI3" s="242" t="s">
        <v>425</v>
      </c>
      <c r="FJ3" s="242" t="s">
        <v>426</v>
      </c>
      <c r="FK3" s="242" t="s">
        <v>427</v>
      </c>
      <c r="FL3" s="242" t="s">
        <v>428</v>
      </c>
      <c r="FM3" s="243" t="s">
        <v>429</v>
      </c>
      <c r="FN3" s="367" t="s">
        <v>227</v>
      </c>
      <c r="FO3" s="366" t="s">
        <v>228</v>
      </c>
      <c r="FP3" s="366" t="s">
        <v>229</v>
      </c>
      <c r="FQ3" s="366" t="s">
        <v>230</v>
      </c>
      <c r="FR3" s="366" t="s">
        <v>231</v>
      </c>
      <c r="FS3" s="366" t="s">
        <v>232</v>
      </c>
      <c r="FT3" s="366" t="s">
        <v>233</v>
      </c>
      <c r="FU3" s="366" t="s">
        <v>234</v>
      </c>
      <c r="FV3" s="366" t="s">
        <v>235</v>
      </c>
      <c r="FW3" s="366" t="s">
        <v>236</v>
      </c>
      <c r="FX3" s="366" t="s">
        <v>237</v>
      </c>
      <c r="FY3" s="366" t="s">
        <v>238</v>
      </c>
      <c r="FZ3" s="367" t="s">
        <v>936</v>
      </c>
      <c r="GA3" s="366" t="s">
        <v>937</v>
      </c>
      <c r="GB3" s="366" t="s">
        <v>938</v>
      </c>
      <c r="GC3" s="366" t="s">
        <v>939</v>
      </c>
      <c r="GD3" s="366" t="s">
        <v>940</v>
      </c>
      <c r="GE3" s="366" t="s">
        <v>941</v>
      </c>
      <c r="GF3" s="366" t="s">
        <v>942</v>
      </c>
      <c r="GG3" s="366" t="s">
        <v>943</v>
      </c>
      <c r="GH3" s="366" t="s">
        <v>944</v>
      </c>
      <c r="GI3" s="366" t="s">
        <v>945</v>
      </c>
      <c r="GJ3" s="366" t="s">
        <v>946</v>
      </c>
      <c r="GK3" s="366" t="s">
        <v>947</v>
      </c>
      <c r="GL3" s="367" t="s">
        <v>239</v>
      </c>
      <c r="GM3" s="366" t="s">
        <v>240</v>
      </c>
      <c r="GN3" s="366" t="s">
        <v>241</v>
      </c>
      <c r="GO3" s="366" t="s">
        <v>242</v>
      </c>
      <c r="GP3" s="366" t="s">
        <v>243</v>
      </c>
      <c r="GQ3" s="366" t="s">
        <v>244</v>
      </c>
      <c r="GR3" s="366" t="s">
        <v>245</v>
      </c>
      <c r="GS3" s="366" t="s">
        <v>246</v>
      </c>
      <c r="GT3" s="366" t="s">
        <v>247</v>
      </c>
      <c r="GU3" s="366" t="s">
        <v>248</v>
      </c>
      <c r="GV3" s="366" t="s">
        <v>249</v>
      </c>
      <c r="GW3" s="368" t="s">
        <v>250</v>
      </c>
      <c r="GX3" s="217" t="s">
        <v>287</v>
      </c>
      <c r="GY3" s="217" t="s">
        <v>288</v>
      </c>
      <c r="GZ3" s="217" t="s">
        <v>289</v>
      </c>
      <c r="HA3" s="217" t="s">
        <v>290</v>
      </c>
      <c r="HB3" s="217" t="s">
        <v>291</v>
      </c>
      <c r="HC3" s="217" t="s">
        <v>292</v>
      </c>
      <c r="HD3" s="217" t="s">
        <v>293</v>
      </c>
      <c r="HE3" s="217" t="s">
        <v>294</v>
      </c>
      <c r="HF3" s="217" t="s">
        <v>295</v>
      </c>
      <c r="HG3" s="217" t="s">
        <v>296</v>
      </c>
      <c r="HH3" s="217" t="s">
        <v>297</v>
      </c>
      <c r="HI3" s="362" t="s">
        <v>298</v>
      </c>
      <c r="HJ3" s="248" t="s">
        <v>430</v>
      </c>
      <c r="HK3" s="249" t="s">
        <v>431</v>
      </c>
      <c r="HL3" s="249" t="s">
        <v>432</v>
      </c>
      <c r="HM3" s="249" t="s">
        <v>433</v>
      </c>
      <c r="HN3" s="249" t="s">
        <v>435</v>
      </c>
      <c r="HO3" s="249" t="s">
        <v>436</v>
      </c>
      <c r="HP3" s="249" t="s">
        <v>646</v>
      </c>
      <c r="HQ3" s="249" t="s">
        <v>647</v>
      </c>
      <c r="HR3" s="246" t="s">
        <v>648</v>
      </c>
      <c r="HS3" s="247" t="s">
        <v>649</v>
      </c>
      <c r="HT3" s="144" t="s">
        <v>444</v>
      </c>
      <c r="HU3" s="146" t="s">
        <v>445</v>
      </c>
      <c r="HV3" s="144" t="s">
        <v>446</v>
      </c>
      <c r="HW3" s="146" t="s">
        <v>447</v>
      </c>
      <c r="HX3" s="145" t="s">
        <v>448</v>
      </c>
      <c r="HY3" s="145" t="s">
        <v>449</v>
      </c>
      <c r="HZ3" s="218" t="s">
        <v>650</v>
      </c>
      <c r="IA3" s="218" t="s">
        <v>651</v>
      </c>
      <c r="IB3" s="36"/>
      <c r="IC3" s="36"/>
    </row>
    <row r="4" spans="1:237" ht="16.5" customHeight="1">
      <c r="A4" s="484">
        <f>RACRL_Target_Energy</f>
        <v>0</v>
      </c>
      <c r="B4" s="484">
        <f>RACRL_Target_Water</f>
        <v>0</v>
      </c>
      <c r="C4" s="485" t="str">
        <f>RACRL_Rating_Type</f>
        <v>&lt;Select&gt;</v>
      </c>
      <c r="D4" s="485">
        <f>RACRL_Postcode</f>
        <v>0</v>
      </c>
      <c r="E4" s="486">
        <f>RACRL_Site_Area</f>
        <v>0</v>
      </c>
      <c r="F4" s="486">
        <f>RACRL_OBD</f>
        <v>0</v>
      </c>
      <c r="G4" s="486">
        <f>RACRL_Dwellings</f>
        <v>0</v>
      </c>
      <c r="H4" s="486">
        <f>RACRL_Serviced_Apartments</f>
        <v>0</v>
      </c>
      <c r="I4" s="485" t="str">
        <f>RACRL_Heated_Pool</f>
        <v>&lt;Select&gt;</v>
      </c>
      <c r="J4" s="485">
        <f>RACRL_Heated_Pool_Area</f>
        <v>0</v>
      </c>
      <c r="K4" s="485" t="str">
        <f>RACRL_Unheated_Pool</f>
        <v>&lt;Select&gt;</v>
      </c>
      <c r="L4" s="485">
        <f>RACRL_Unheated_Pool_Area</f>
        <v>0</v>
      </c>
      <c r="M4" s="485" t="str">
        <f>RACRL_Heavy_Laundry</f>
        <v>&lt;Select&gt;</v>
      </c>
      <c r="N4" s="486">
        <f>RACRL_Weekly_Meals_Residents</f>
        <v>0</v>
      </c>
      <c r="O4" s="486">
        <f>RACRL_Weekly_Meals_Non_Residents</f>
        <v>0</v>
      </c>
      <c r="P4" s="487">
        <f>RACRL_Elec_Percent</f>
        <v>0</v>
      </c>
      <c r="Q4" s="487">
        <f>RACRL_Gas_Percent</f>
        <v>0</v>
      </c>
      <c r="R4" s="487">
        <f>RACRL_LPG_Percent</f>
        <v>0</v>
      </c>
      <c r="S4" s="487">
        <f>RACRL_Diesel_Percent</f>
        <v>0</v>
      </c>
      <c r="T4" s="532">
        <f>tbl_RACRL_Multi[[#This Row],[Target Max Energy BF]]</f>
        <v>1.9992575247015822</v>
      </c>
      <c r="U4" s="42">
        <f>tbl_RACRL_Multi[[#This Row],[Predicted Emissions]]</f>
        <v>0</v>
      </c>
      <c r="V4" s="42">
        <f>tbl_RACRL_Multi[[#This Row],[Target Max CO2]]</f>
        <v>0</v>
      </c>
      <c r="W4" s="378" t="e">
        <f>tbl_RACRL_Multi[[#This Row],[Target Max CO2 Intensity]]</f>
        <v>#DIV/0!</v>
      </c>
      <c r="X4" s="378" t="e">
        <f>tbl_RACRL_Multi[[#This Row],[Target Max Energy Intensity]]</f>
        <v>#DIV/0!</v>
      </c>
      <c r="Y4" s="42" t="e">
        <f>tbl_RACRL_Multi[[#This Row],[Target Scopes 1,2&amp;3]]</f>
        <v>#DIV/0!</v>
      </c>
      <c r="Z4" s="42" t="e">
        <f>tbl_RACRL_Multi[[#This Row],[Target Scopes 1&amp;2]]</f>
        <v>#DIV/0!</v>
      </c>
      <c r="AA4" s="42" t="e">
        <f>tbl_RACRL_Multi[[#This Row],[Target Max Elec (kWh)]]</f>
        <v>#DIV/0!</v>
      </c>
      <c r="AB4" s="42" t="e">
        <f>tbl_RACRL_Multi[[#This Row],[Target Max Gas (MJ)]]</f>
        <v>#DIV/0!</v>
      </c>
      <c r="AC4" s="42" t="e">
        <f>tbl_RACRL_Multi[[#This Row],[Target Max LPG (L)]]</f>
        <v>#DIV/0!</v>
      </c>
      <c r="AD4" s="42" t="e">
        <f>tbl_RACRL_Multi[[#This Row],[Target Max LPG (MJ)]]</f>
        <v>#DIV/0!</v>
      </c>
      <c r="AE4" s="42" t="e">
        <f>tbl_RACRL_Multi[[#This Row],[Target Max Diesel (L)]]</f>
        <v>#DIV/0!</v>
      </c>
      <c r="AF4" s="532">
        <f>tbl_RACRL_Multi[[#This Row],[Target Max Water BF]]</f>
        <v>1.9992575247015822</v>
      </c>
      <c r="AG4" s="42">
        <f>tbl_RACRL_Multi[[#This Row],[Predicted Water]]</f>
        <v>0</v>
      </c>
      <c r="AH4" s="42">
        <f>tbl_RACRL_Multi[[#This Row],[Target Max Water (kL)]]</f>
        <v>0</v>
      </c>
      <c r="AI4" s="126" t="e">
        <f>tbl_RACRL_Multi[[#This Row],[Target Max Water Intensity]]</f>
        <v>#DIV/0!</v>
      </c>
      <c r="AJ4" s="285">
        <f>RACRL_Elec_FWD</f>
        <v>0</v>
      </c>
      <c r="AK4" s="285">
        <f>RACRL_Gas_FWD</f>
        <v>0</v>
      </c>
      <c r="AL4" s="285">
        <f>RACRL_Diesel_FWD</f>
        <v>0</v>
      </c>
      <c r="AM4" s="285">
        <f>RACRL_LPG_FWD</f>
        <v>0</v>
      </c>
      <c r="AN4" s="43">
        <f>RACRL_GreenPower_Percent_FWD</f>
        <v>0</v>
      </c>
      <c r="AO4" s="285">
        <f>RACRL_Water_FWD</f>
        <v>0</v>
      </c>
      <c r="AP4" s="43">
        <f>RACRL_RW_Percent_FWD</f>
        <v>0</v>
      </c>
      <c r="AQ4" s="45" t="e">
        <f>INDEX(tbl_Climate_Lookup[],MATCH(tbl_RACRL_Multi[[Postcode]:[Postcode]],tbl_Climate_Lookup[[Postcode]:[Postcode]],0),MATCH(tbl_RACRL_Multi[[#Headers],[State]],tbl_Climate_Lookup[#Headers],0))</f>
        <v>#N/A</v>
      </c>
      <c r="AR4" s="45" t="e">
        <f>INDEX(tbl_Climate_Lookup[],MATCH(tbl_RACRL_Multi[[Postcode]:[Postcode]],tbl_Climate_Lookup[[Postcode]:[Postcode]],0),MATCH(tbl_RACRL_Multi[[#Headers],[Climate zone]],tbl_Climate_Lookup[#Headers],0))</f>
        <v>#N/A</v>
      </c>
      <c r="AS4" s="169" t="e">
        <f>INDEX(tbl_Climate_Lookup[],MATCH(tbl_RACRL_Multi[[Postcode]:[Postcode]],tbl_Climate_Lookup[[Postcode]:[Postcode]],0),MATCH(tbl_RACRL_Multi[[#Headers],[HDD]],tbl_Climate_Lookup[#Headers],0))</f>
        <v>#N/A</v>
      </c>
      <c r="AT4" s="169" t="e">
        <f>INDEX(tbl_Climate_Lookup[],MATCH(tbl_RACRL_Multi[[Postcode]:[Postcode]],tbl_Climate_Lookup[[Postcode]:[Postcode]],0),MATCH(tbl_RACRL_Multi[[#Headers],[CDD]],tbl_Climate_Lookup[#Headers],0))</f>
        <v>#N/A</v>
      </c>
      <c r="AU4" s="169" t="e">
        <f>INDEX(tbl_Climate_Lookup[],MATCH(tbl_RACRL_Multi[[Postcode]:[Postcode]],tbl_Climate_Lookup[[Postcode]:[Postcode]],0),MATCH(tbl_RACRL_Multi[[#Headers],[IRR]],tbl_Climate_Lookup[#Headers],0))</f>
        <v>#N/A</v>
      </c>
      <c r="AV4" s="45" t="e">
        <f>INDEX(tbl_SGE_2020[],MATCH(tbl_RACRL_Multi[[State]:[State]],tbl_SGE_2020[[State]:[State]],0),MATCH(tbl_RACRL_Multi[[#Headers],[SGEe]],tbl_SGE_2020[#Headers],0))</f>
        <v>#N/A</v>
      </c>
      <c r="AW4" s="45" t="e">
        <f>INDEX(tbl_SGE_2020[],MATCH(tbl_RACRL_Multi[[State]:[State]],tbl_SGE_2020[[State]:[State]],0),MATCH(tbl_RACRL_Multi[[#Headers],[SGEg]],tbl_SGE_2020[#Headers],0))</f>
        <v>#N/A</v>
      </c>
      <c r="AX4" s="45" t="e">
        <f>INDEX(tbl_SGE_2020[],MATCH(tbl_RACRL_Multi[[State]:[State]],tbl_SGE_2020[[State]:[State]],0),MATCH(tbl_RACRL_Multi[[#Headers],[SGEl]],tbl_SGE_2020[#Headers],0))</f>
        <v>#N/A</v>
      </c>
      <c r="AY4" s="45" t="e">
        <f>IF(tbl_RACRL_Multi[[#This Row],[State]]="TAS",2.8371,
INDEX(tbl_SGE_2020[],MATCH(tbl_RACRL_Multi[[State]:[State]],tbl_SGE_2020[[State]:[State]],0),MATCH(tbl_RACRL_Multi[[#Headers],[SGEd]],tbl_SGE_2020[#Headers],0)))</f>
        <v>#N/A</v>
      </c>
      <c r="AZ4" s="50">
        <f>INDEX(tbl_Conversion_Factors[[Conversion Factors]:[Conversion Factors]],MATCH(tbl_RACRL_Multi[[#Headers],[CFelec]],tbl_Conversion_Factors[[Reference]:[Reference]],0))</f>
        <v>3.6</v>
      </c>
      <c r="BA4" s="50">
        <f>INDEX(tbl_Conversion_Factors[[Conversion Factors]:[Conversion Factors]],MATCH(tbl_RACRL_Multi[[#Headers],[CFlpg]],tbl_Conversion_Factors[[Reference]:[Reference]],0))</f>
        <v>25.7</v>
      </c>
      <c r="BB4" s="50">
        <f>INDEX(tbl_Conversion_Factors[[Conversion Factors]:[Conversion Factors]],MATCH(tbl_RACRL_Multi[[#Headers],[CFdiesel]],tbl_Conversion_Factors[[Reference]:[Reference]],0))</f>
        <v>38.6</v>
      </c>
      <c r="BC4" s="45" t="e">
        <f>tbl_RACRL_Multi[[#This Row],[SGEe]]/tbl_RACRL_Multi[[#This Row],[CFelec]]</f>
        <v>#N/A</v>
      </c>
      <c r="BD4" s="45" t="e">
        <f>tbl_RACRL_Multi[[#This Row],[SGEl]]/tbl_RACRL_Multi[[#This Row],[CFlpg]]</f>
        <v>#N/A</v>
      </c>
      <c r="BE4" s="45" t="e">
        <f>tbl_RACRL_Multi[[#This Row],[SGEd]]/tbl_RACRL_Multi[[#This Row],[CFdiesel]]</f>
        <v>#N/A</v>
      </c>
      <c r="BF4" s="46">
        <f>IF(SUM(tbl_RACRL_Multi[[#This Row],[Electricity (%)]:[Diesel (%)]])=1,
SUM(tbl_RACRL_Multi[[#This Row],[Electricity (%)]]*tbl_RACRL_Multi[[#This Row],[SGEeMJ]],
tbl_RACRL_Multi[[#This Row],[Gas (%)]]*tbl_RACRL_Multi[[#This Row],[SGEg]],
tbl_RACRL_Multi[[#This Row],[LPG (%)]]*tbl_RACRL_Multi[[#This Row],[SGEg]],
tbl_RACRL_Multi[[#This Row],[Diesel (%)]]*tbl_RACRL_Multi[[#This Row],[SGEdMJ]]),
0)</f>
        <v>0</v>
      </c>
      <c r="BG4" s="46" t="e">
        <f>INDEX(tbl_NGA_Factors_2021[],MATCH(tbl_RACRL_Multi[[State]:[State]],tbl_NGA_Factors_2021[[State]:[State]],0),MATCH(tbl_RACRL_Multi[[#Headers],[SGEe Scopes 1,2&amp;3]],tbl_NGA_Factors_2021[#Headers],0))</f>
        <v>#N/A</v>
      </c>
      <c r="BH4" s="46" t="e">
        <f>INDEX(tbl_NGA_Factors_2021[],MATCH(tbl_RACRL_Multi[[State]:[State]],tbl_NGA_Factors_2021[[State]:[State]],0),MATCH(tbl_RACRL_Multi[[#Headers],[SGEg Scopes 1,2&amp;3]],tbl_NGA_Factors_2021[#Headers],0))</f>
        <v>#N/A</v>
      </c>
      <c r="BI4" s="46" t="e">
        <f>INDEX(tbl_NGA_Factors_2021[],MATCH(tbl_RACRL_Multi[[State]:[State]],tbl_NGA_Factors_2021[[State]:[State]],0),MATCH(tbl_RACRL_Multi[[#Headers],[SGEl Scopes 1,2&amp;3]],tbl_NGA_Factors_2021[#Headers],0))</f>
        <v>#N/A</v>
      </c>
      <c r="BJ4" s="46" t="e">
        <f>INDEX(tbl_NGA_Factors_2021[],MATCH(tbl_RACRL_Multi[[State]:[State]],tbl_NGA_Factors_2021[[State]:[State]],0),MATCH(tbl_RACRL_Multi[[#Headers],[SGEd Scopes 1,2&amp;3]],tbl_NGA_Factors_2021[#Headers],0))</f>
        <v>#N/A</v>
      </c>
      <c r="BK4" s="46" t="e">
        <f>INDEX(tbl_NGA_Factors_2021[],MATCH(tbl_RACRL_Multi[[State]:[State]],tbl_NGA_Factors_2021[[State]:[State]],0),MATCH(tbl_RACRL_Multi[[#Headers],[SGEe Scopes 1&amp;2]],tbl_NGA_Factors_2021[#Headers],0))</f>
        <v>#N/A</v>
      </c>
      <c r="BL4" s="46" t="e">
        <f>INDEX(tbl_NGA_Factors_2021[],MATCH(tbl_RACRL_Multi[[State]:[State]],tbl_NGA_Factors_2021[[State]:[State]],0),MATCH(tbl_RACRL_Multi[[#Headers],[SGEg Scopes 1&amp;2]],tbl_NGA_Factors_2021[#Headers],0))</f>
        <v>#N/A</v>
      </c>
      <c r="BM4" s="46" t="e">
        <f>INDEX(tbl_NGA_Factors_2021[],MATCH(tbl_RACRL_Multi[[State]:[State]],tbl_NGA_Factors_2021[[State]:[State]],0),MATCH(tbl_RACRL_Multi[[#Headers],[SGEl Scopes 1&amp;2]],tbl_NGA_Factors_2021[#Headers],0))</f>
        <v>#N/A</v>
      </c>
      <c r="BN4" s="46" t="e">
        <f>INDEX(tbl_NGA_Factors_2021[],MATCH(tbl_RACRL_Multi[[State]:[State]],tbl_NGA_Factors_2021[[State]:[State]],0),MATCH(tbl_RACRL_Multi[[#Headers],[SGEd Scopes 1&amp;2]],tbl_NGA_Factors_2021[#Headers],0))</f>
        <v>#N/A</v>
      </c>
      <c r="BO4" s="45">
        <f>IF(tbl_RACRL_Multi[[#This Row],[Rating Type]]="Residential Aged Care",tbl_RACRL_Multi[[#This Row],[Beadj RAC]],
IF(tbl_RACRL_Multi[[#This Row],[Rating Type]]="Retirement Living",tbl_RACRL_Multi[[#This Row],[Beadj RL]],
IF(tbl_RACRL_Multi[[#This Row],[Rating Type]]="Co-Located Facility",tbl_RACRL_Multi[[#This Row],[Beadj CL]],0)))</f>
        <v>0</v>
      </c>
      <c r="BP4" s="45">
        <f>IF(tbl_RACRL_Multi[[#This Row],[Rating Type]]="Residential Aged Care",tbl_RACRL_Multi[[#This Row],[Beorig RAC]],
IF(tbl_RACRL_Multi[[#This Row],[Rating Type]]="Retirement Living",tbl_RACRL_Multi[[#This Row],[Beorig RL]],
IF(tbl_RACRL_Multi[[#This Row],[Rating Type]]="Co-Located Facility",tbl_RACRL_Multi[[#This Row],[Beorig CL]],0)))</f>
        <v>0</v>
      </c>
      <c r="BQ4" s="45" t="e">
        <f>SUM((0.59*tbl_RACRL_Multi[[#This Row],[SGEe]]/0.9),(0.41*tbl_RACRL_Multi[[#This Row],[SGEg]]/0.06463))</f>
        <v>#N/A</v>
      </c>
      <c r="BR4" s="45" t="e">
        <f>SUM((0.94*tbl_RACRL_Multi[[#This Row],[SGEe]]/0.9),(0.06*tbl_RACRL_Multi[[#This Row],[SGEg]]/0.06463))</f>
        <v>#N/A</v>
      </c>
      <c r="BS4" s="45" t="e">
        <f>SUM((0.78*tbl_RACRL_Multi[[#This Row],[SGEe]]/0.9),(0.22*tbl_RACRL_Multi[[#This Row],[SGEg]]/0.06463))</f>
        <v>#N/A</v>
      </c>
      <c r="BT4" s="45" t="e">
        <f>tbl_RACRL_Multi[[#This Row],[State SGE adjustment RAC]]*tbl_RACRL_Multi[[#This Row],[Beorig RAC]]</f>
        <v>#N/A</v>
      </c>
      <c r="BU4" s="45" t="e">
        <f>SUM(tbl_RACRL_Multi[[#This Row],[(16.061,0.00018*HDD+2.216*HL)*OBD]],tbl_RACRL_Multi[[#This Row],[1500*(Poolheated-1.7)]],tbl_RACRL_Multi[[#This Row],[2*52*MealsNRWeekly]])</f>
        <v>#N/A</v>
      </c>
      <c r="BV4" s="45" t="e">
        <f>tbl_RACRL_Multi[[#This Row],[State SGE adjustment RL]]*tbl_RACRL_Multi[[#This Row],[Beorig RL]]</f>
        <v>#N/A</v>
      </c>
      <c r="BW4" s="45" t="e">
        <f>SUM(tbl_RACRL_Multi[[#This Row],[(1500Poolheated + 232.2Dwellings)*(0.000008Site Area + 0.1811)*(0.0009HDD+0.474)]],tbl_RACRL_Multi[[#This Row],[960*Poolunheated]],tbl_RACRL_Multi[[#This Row],[2*52*Mealsweekly]],tbl_RACRL_Multi[[#This Row],[3333.3*Serviced Apartments]])</f>
        <v>#N/A</v>
      </c>
      <c r="BX4" s="45" t="e">
        <f>tbl_RACRL_Multi[[#This Row],[State SGE adjustment CL]]*tbl_RACRL_Multi[[#This Row],[Beorig CL]]</f>
        <v>#N/A</v>
      </c>
      <c r="BY4" s="45" t="e">
        <f>SUM(RACRL_C_E_RAC_Intercept,
tbl_RACRL_Multi[[#This Row],[0.0018*HDD]],
tbl_RACRL_Multi[[#This Row],[2.216*HL]])*tbl_RACRL_Multi[[#This Row],[OBD]]+
SUM(tbl_RACRL_Multi[[#This Row],[1500*Poolheated]],
tbl_RACRL_Multi[[#This Row],[232.2*Dwellings]])*tbl_RACRL_Multi[[#This Row],[0.000008*Site Area + 0.1811]]*tbl_RACRL_Multi[[#This Row],[0.0009*HDD+0.474]]+
SUM(tbl_RACRL_Multi[[#This Row],[960*Poolunheated]],
tbl_RACRL_Multi[[#This Row],[2*52*Mealsweekly]],
tbl_RACRL_Multi[[#This Row],[3333.3*Serviced Apartments]])</f>
        <v>#N/A</v>
      </c>
      <c r="BZ4" s="45" t="e">
        <f>SUM(RACRL_C_E_RAC_Intercept,tbl_RACRL_Multi[[#This Row],[0.0018*HDD]],tbl_RACRL_Multi[[#This Row],[2.216*HL]])*tbl_RACRL_Multi[[#This Row],[OBD]]</f>
        <v>#N/A</v>
      </c>
      <c r="CA4" s="45" t="e">
        <f>RACRL_C_E_RAC_HDD*tbl_RACRL_Multi[[#This Row],[HDD]]</f>
        <v>#N/A</v>
      </c>
      <c r="CB4" s="45">
        <f>IF(tbl_RACRL_Multi[[#This Row],[Heavy Laundry]]="Yes",RACRL_C_E_Heavy_Laundry,0)</f>
        <v>0</v>
      </c>
      <c r="CC4" s="45">
        <f>IF(tbl_RACRL_Multi[[#This Row],[Heated Pool]]="Yes",RACRL_C_E_Heated_Pool*(tbl_RACRL_Multi[[#This Row],[Heated Pool Area]]-RACRL_C_E_Heated_Pool_Area_Adjustment),0)</f>
        <v>0</v>
      </c>
      <c r="CD4" s="45">
        <f>RACRL_C_E_Total_Meals*tbl_RACRL_Multi[[#This Row],[MealsNonResident]]</f>
        <v>0</v>
      </c>
      <c r="CE4" s="45" t="e">
        <f>SUM(tbl_RACRL_Multi[[#This Row],[1500*Poolheated]],tbl_RACRL_Multi[[#This Row],[232.2*Dwellings]])*tbl_RACRL_Multi[[#This Row],[0.000008*Site Area + 0.1811]]*tbl_RACRL_Multi[[#This Row],[0.0009*HDD+0.474]]</f>
        <v>#N/A</v>
      </c>
      <c r="CF4" s="45">
        <f>IF(tbl_RACRL_Multi[[#This Row],[Heated Pool]]="Yes",RACRL_C_E_RL_Heated_Pool*tbl_RACRL_Multi[[#This Row],[Heated Pool Area]],0)</f>
        <v>0</v>
      </c>
      <c r="CG4" s="45">
        <f>RACRL_C_E_RL_Dwellings*tbl_RACRL_Multi[[#This Row],[Dwellings]]</f>
        <v>0</v>
      </c>
      <c r="CH4" s="45">
        <f>RACRL_C_E_RL_Site_Area*tbl_RACRL_Multi[[#This Row],[Site Area]]+RACRL_C_E_RL_Site_Area_Intercept</f>
        <v>0.18110000000000001</v>
      </c>
      <c r="CI4" s="45" t="e">
        <f>RACRL_C_E_RL_HDD*tbl_RACRL_Multi[[#This Row],[HDD]]+RACRL_C_E_RL_HDD_Intercept</f>
        <v>#N/A</v>
      </c>
      <c r="CJ4" s="45">
        <f>IF(tbl_RACRL_Multi[[#This Row],[Unheated Pool]]="Yes",RACRL_C_E_RL_Unheated_Pool*tbl_RACRL_Multi[[#This Row],[Unheated Pool Area]],0)</f>
        <v>0</v>
      </c>
      <c r="CK4" s="45">
        <f>RACRL_C_E_Total_Meals*SUM(tbl_RACRL_Multi[[#This Row],[MealsResident]],tbl_RACRL_Multi[[#This Row],[MealsNonResident]])</f>
        <v>0</v>
      </c>
      <c r="CL4" s="45">
        <f>RACRL_C_E_RL_Serviced_Apartments*tbl_RACRL_Multi[[#This Row],[Serviced Apartments]]</f>
        <v>0</v>
      </c>
      <c r="CM4" s="36">
        <f>IF(tbl_RACRL_Multi[[#This Row],[Rating Type]]="Residential Aged Care",tbl_RACRL_Multi[[#This Row],[Bw RAC]],
IF(tbl_RACRL_Multi[[#This Row],[Rating Type]]="Retirement Living",tbl_RACRL_Multi[[#This Row],[Bw RL]],
IF(tbl_RACRL_Multi[[#This Row],[Rating Type]]="Co-Located Facility",tbl_RACRL_Multi[[#This Row],[Bw CL]],
0)))</f>
        <v>0</v>
      </c>
      <c r="CN4" s="36" t="e">
        <f>SUM(tbl_RACRL_Multi[[#This Row],[(0.2307+ 0.0001*CDD+0.0529*HL) * ODB]],tbl_RACRL_Multi[[#This Row],[2.132*MealsNR]])</f>
        <v>#N/A</v>
      </c>
      <c r="CO4" s="36" t="e">
        <f>SUM(tbl_RACRL_Multi[[#This Row],[54.355*Dwellings]],tbl_RACRL_Multi[[#This Row],[0.0001*SiteArea*IRR]],tbl_RACRL_Multi[[#This Row],[2.132*MealsWeekly]],tbl_RACRL_Multi[[#This Row],[10*Poolheated-287]])</f>
        <v>#N/A</v>
      </c>
      <c r="CP4" s="36" t="e">
        <f>SUM(tbl_RACRL_Multi[[#This Row],[100.028*Dwellings]],tbl_RACRL_Multi[[#This Row],[0.0003*SiteArea*IRR]],tbl_RACRL_Multi[[#This Row],[2.132*MealsWeekly]],tbl_RACRL_Multi[[#This Row],[10*Poolheated-287]],tbl_RACRL_Multi[[#This Row],[(0.2307+ 0.0001*CDD+0.0529*HL) * ODB]])</f>
        <v>#N/A</v>
      </c>
      <c r="CQ4" s="36" t="e">
        <f>(RACRL_C_W_RAC_Intercept+tbl_RACRL_Multi[[#This Row],[0.0001*CDD]]+tbl_RACRL_Multi[[#This Row],[0.0529*HL]])*tbl_RACRL_Multi[[#This Row],[OBD]]</f>
        <v>#N/A</v>
      </c>
      <c r="CR4" s="36" t="e">
        <f>RACRL_C_W_RAC_CDD*tbl_RACRL_Multi[[#This Row],[CDD]]</f>
        <v>#N/A</v>
      </c>
      <c r="CS4" s="36">
        <f>IF(tbl_RACRL_Multi[[#This Row],[Heavy Laundry]]="Yes",RACRL_C_W_RAC_Heavy_Laundry,0)</f>
        <v>0</v>
      </c>
      <c r="CT4" s="36">
        <f>RACRL_C_W_Meals*tbl_RACRL_Multi[[#This Row],[MealsNonResident]]</f>
        <v>0</v>
      </c>
      <c r="CU4" s="36">
        <f>RACRL_C_W_CL_Dwellings*tbl_RACRL_Multi[[#This Row],[Dwellings]]</f>
        <v>0</v>
      </c>
      <c r="CV4" s="36">
        <f>RACRL_C_W_RL_Dwellings*tbl_RACRL_Multi[[#This Row],[Dwellings]]</f>
        <v>0</v>
      </c>
      <c r="CW4" s="36" t="e">
        <f>RACRL_C_W_CL_Site_Area_IRR*tbl_RACRL_Multi[[#This Row],[Site Area]]*tbl_RACRL_Multi[[#This Row],[IRR]]</f>
        <v>#N/A</v>
      </c>
      <c r="CX4" s="36" t="e">
        <f>RACRL_C_W_RL_Site_Area_IRR*tbl_RACRL_Multi[[#This Row],[Site Area]]*tbl_RACRL_Multi[[#This Row],[IRR]]</f>
        <v>#N/A</v>
      </c>
      <c r="CY4" s="36">
        <f>RACRL_C_W_Meals*SUM(tbl_RACRL_Multi[[#This Row],[MealsResident]],tbl_RACRL_Multi[[#This Row],[MealsNonResident]])</f>
        <v>0</v>
      </c>
      <c r="CZ4" s="36">
        <f>IF(tbl_RACRL_Multi[[#This Row],[Heated Pool]]="Yes",RACRL_C_W_Heated_Pool*tbl_RACRL_Multi[[#This Row],[Heated Pool Area]]-RACRL_C_W_Heated_Pool_Area_Offset,-RACRL_C_W_Heated_Pool_Area_Offset)</f>
        <v>-287</v>
      </c>
      <c r="DA4" s="44">
        <f>tbl_RACRL_Multi[[#This Row],[Beadj]]</f>
        <v>0</v>
      </c>
      <c r="DB4" s="296">
        <f>(7.001-tbl_RACRL_Multi[[#This Row],[Target Energy]])/(3.5018)</f>
        <v>1.9992575247015822</v>
      </c>
      <c r="DC4" s="44">
        <f>tbl_RACRL_Multi[[#This Row],[Target Max Energy BF]]*tbl_RACRL_Multi[[#This Row],[Predicted Emissions]]</f>
        <v>0</v>
      </c>
      <c r="DD4" s="48" t="e">
        <f>tbl_RACRL_Multi[[#This Row],[Target Max CO2]]/IF(tbl_RACRL_Multi[[#This Row],[Rating Type]]="Residential Aged Care",tbl_RACRL_Multi[[#This Row],[OBD]],tbl_RACRL_Multi[[#This Row],[Site Area]])</f>
        <v>#DIV/0!</v>
      </c>
      <c r="DE4" s="44" t="e">
        <f>tbl_RACRL_Multi[[#This Row],[Target Max CO2]]/tbl_RACRL_Multi[[EffGHG]:[EffGHG]]</f>
        <v>#DIV/0!</v>
      </c>
      <c r="DF4" s="44" t="e">
        <f>tbl_RACRL_Multi[[#This Row],[Target Max Energy (MJ)]]/IF(tbl_RACRL_Multi[[#This Row],[Rating Type]]="Residential Aged Care",tbl_RACRL_Multi[[#This Row],[OBD]],tbl_RACRL_Multi[[#This Row],[Site Area]])</f>
        <v>#DIV/0!</v>
      </c>
      <c r="DG4" s="44" t="e">
        <f>ROUNDDOWN(tbl_RACRL_Multi[[#This Row],[Target Max Energy (MJ)]]*tbl_RACRL_Multi[[Electricity (%)]:[Electricity (%)]]/tbl_RACRL_Multi[[CFelec]:[CFelec]],0)</f>
        <v>#DIV/0!</v>
      </c>
      <c r="DH4" s="44" t="e">
        <f>ROUNDDOWN(tbl_RACRL_Multi[[#This Row],[Target Max Energy (MJ)]]*tbl_RACRL_Multi[[Gas (%)]:[Gas (%)]],0)</f>
        <v>#DIV/0!</v>
      </c>
      <c r="DI4" s="44" t="e">
        <f>ROUNDDOWN(tbl_RACRL_Multi[[#This Row],[Target Max Energy (MJ)]]*tbl_RACRL_Multi[[LPG (%)]:[LPG (%)]]/tbl_RACRL_Multi[[CFlpg]:[CFlpg]],0)</f>
        <v>#DIV/0!</v>
      </c>
      <c r="DJ4" s="44" t="e">
        <f>ROUNDDOWN(tbl_RACRL_Multi[[#This Row],[Target Max Energy (MJ)]]*tbl_RACRL_Multi[[Diesel (%)]:[Diesel (%)]]/tbl_RACRL_Multi[[CFdiesel]:[CFdiesel]],0)</f>
        <v>#DIV/0!</v>
      </c>
      <c r="DK4" s="44" t="e">
        <f>ROUNDDOWN(tbl_RACRL_Multi[[#This Row],[Target Max Energy (MJ)]]*tbl_RACRL_Multi[[LPG (%)]:[LPG (%)]],0)</f>
        <v>#DIV/0!</v>
      </c>
      <c r="DL4" s="44" t="e">
        <f>SUM(tbl_RACRL_Multi[[#This Row],[Target Max Elec (kWh)]]*tbl_RACRL_Multi[[#This Row],[SGEe Scopes 1,2&amp;3]],
tbl_RACRL_Multi[[#This Row],[Target Max Gas (MJ)]]*tbl_RACRL_Multi[[#This Row],[SGEg Scopes 1,2&amp;3]],
tbl_RACRL_Multi[[#This Row],[Target Max LPG (L)]]*tbl_RACRL_Multi[[#This Row],[SGEl Scopes 1,2&amp;3]],
tbl_RACRL_Multi[[#This Row],[Target Max Diesel (L)]]*tbl_RACRL_Multi[[#This Row],[SGEd Scopes 1,2&amp;3]])</f>
        <v>#DIV/0!</v>
      </c>
      <c r="DM4" s="44" t="e">
        <f>SUM(tbl_RACRL_Multi[[#This Row],[Target Max Elec (kWh)]]*tbl_RACRL_Multi[[#This Row],[SGEe Scopes 1&amp;2]],
tbl_RACRL_Multi[[#This Row],[Target Max Gas (MJ)]]*tbl_RACRL_Multi[[#This Row],[SGEg Scopes 1&amp;2]],
tbl_RACRL_Multi[[#This Row],[Target Max LPG (L)]]*tbl_RACRL_Multi[[#This Row],[SGEl Scopes 1&amp;2]],
tbl_RACRL_Multi[[#This Row],[Target Max Diesel (L)]]*tbl_RACRL_Multi[[#This Row],[SGEd Scopes 1&amp;2]])</f>
        <v>#DIV/0!</v>
      </c>
      <c r="DN4" s="47">
        <f>tbl_RACRL_Multi[[#This Row],[Bw]]</f>
        <v>0</v>
      </c>
      <c r="DO4" s="36">
        <f>(7.001-tbl_RACRL_Multi[[#This Row],[Target Water]])/(3.5018)</f>
        <v>1.9992575247015822</v>
      </c>
      <c r="DP4" s="44">
        <f>ROUNDDOWN(tbl_RACRL_Multi[[#This Row],[Target Max Water BF]]*tbl_RACRL_Multi[[#This Row],[Bw]],0)</f>
        <v>0</v>
      </c>
      <c r="DQ4" s="48" t="e">
        <f>tbl_RACRL_Multi[[#This Row],[Target Max Water (kL)]]/IF(tbl_RACRL_Multi[[#This Row],[Rating Type]]="Residential Aged Care",tbl_RACRL_Multi[[#This Row],[OBD]],tbl_RACRL_Multi[[#This Row],[Site Area]])</f>
        <v>#DIV/0!</v>
      </c>
      <c r="DR4" s="36">
        <f>(7.001-(LEFT(tbl_RACRL_Multi[[#Headers],[6.0* Max BF]],3)))/3.5018</f>
        <v>0.28585298989091334</v>
      </c>
      <c r="DS4" s="36">
        <f>(7.001-(LEFT(tbl_RACRL_Multi[[#Headers],[5.5* Max BF]],3)))/3.5018</f>
        <v>0.42863670112513574</v>
      </c>
      <c r="DT4" s="36">
        <f>(7.001-(LEFT(tbl_RACRL_Multi[[#Headers],[5.0* Max BF]],3)))/3.5018</f>
        <v>0.57142041235935814</v>
      </c>
      <c r="DU4" s="36">
        <f>(7.001-(LEFT(tbl_RACRL_Multi[[#Headers],[4.5* Max BF]],3)))/3.5018</f>
        <v>0.71420412359358054</v>
      </c>
      <c r="DV4" s="36">
        <f>(7.001-(LEFT(tbl_RACRL_Multi[[#Headers],[4.0* Max BF]],3)))/3.5018</f>
        <v>0.85698783482780294</v>
      </c>
      <c r="DW4" s="36">
        <f>(7.001-(LEFT(tbl_RACRL_Multi[[#Headers],[3.5* Max BF]],3)))/3.5018</f>
        <v>0.99977154606202545</v>
      </c>
      <c r="DX4" s="36">
        <f>(7.001-(LEFT(tbl_RACRL_Multi[[#Headers],[3.0* Max BF]],3)))/3.5018</f>
        <v>1.1425552572962479</v>
      </c>
      <c r="DY4" s="36">
        <f>(7.001-(LEFT(tbl_RACRL_Multi[[#Headers],[2.5* Max BF]],3)))/3.5018</f>
        <v>1.2853389685304701</v>
      </c>
      <c r="DZ4" s="36">
        <f>(7.001-(LEFT(tbl_RACRL_Multi[[#Headers],[2.0* Max BF]],3)))/3.5018</f>
        <v>1.4281226797646926</v>
      </c>
      <c r="EA4" s="36">
        <f>(7.001-(LEFT(tbl_RACRL_Multi[[#Headers],[1.5* Max BF]],3)))/3.5018</f>
        <v>1.5709063909989149</v>
      </c>
      <c r="EB4" s="36">
        <f>(7.001-(LEFT(tbl_RACRL_Multi[[#Headers],[1.0* Max BF]],3)))/3.5018</f>
        <v>1.7136901022331374</v>
      </c>
      <c r="EC4" s="36">
        <f>(7.001-(LEFT(tbl_RACRL_Multi[[#Headers],[0.0* Max BF]],3)))/3.5018</f>
        <v>1.9992575247015822</v>
      </c>
      <c r="ED4" s="44">
        <f>tbl_RACRL_Multi[[#This Row],[6.0* Max BF]]*tbl_RACRL_Multi[[Beadj]:[Beadj]]</f>
        <v>0</v>
      </c>
      <c r="EE4" s="44">
        <f>tbl_RACRL_Multi[[#This Row],[5.5* Max BF]]*tbl_RACRL_Multi[[Beadj]:[Beadj]]</f>
        <v>0</v>
      </c>
      <c r="EF4" s="44">
        <f>tbl_RACRL_Multi[[#This Row],[5.0* Max BF]]*tbl_RACRL_Multi[[Beadj]:[Beadj]]</f>
        <v>0</v>
      </c>
      <c r="EG4" s="44">
        <f>tbl_RACRL_Multi[[#This Row],[4.5* Max BF]]*tbl_RACRL_Multi[[Beadj]:[Beadj]]</f>
        <v>0</v>
      </c>
      <c r="EH4" s="44">
        <f>tbl_RACRL_Multi[[#This Row],[4.0* Max BF]]*tbl_RACRL_Multi[[Beadj]:[Beadj]]</f>
        <v>0</v>
      </c>
      <c r="EI4" s="44">
        <f>tbl_RACRL_Multi[[#This Row],[3.5* Max BF]]*tbl_RACRL_Multi[[Beadj]:[Beadj]]</f>
        <v>0</v>
      </c>
      <c r="EJ4" s="44">
        <f>tbl_RACRL_Multi[[#This Row],[3.0* Max BF]]*tbl_RACRL_Multi[[Beadj]:[Beadj]]</f>
        <v>0</v>
      </c>
      <c r="EK4" s="44">
        <f>tbl_RACRL_Multi[[#This Row],[2.5* Max BF]]*tbl_RACRL_Multi[[Beadj]:[Beadj]]</f>
        <v>0</v>
      </c>
      <c r="EL4" s="44">
        <f>tbl_RACRL_Multi[[#This Row],[2.0* Max BF]]*tbl_RACRL_Multi[[Beadj]:[Beadj]]</f>
        <v>0</v>
      </c>
      <c r="EM4" s="44">
        <f>tbl_RACRL_Multi[[#This Row],[1.5* Max BF]]*tbl_RACRL_Multi[[Beadj]:[Beadj]]</f>
        <v>0</v>
      </c>
      <c r="EN4" s="44">
        <f>tbl_RACRL_Multi[[#This Row],[1.0* Max BF]]*tbl_RACRL_Multi[[Beadj]:[Beadj]]</f>
        <v>0</v>
      </c>
      <c r="EO4" s="44">
        <f>tbl_RACRL_Multi[[#This Row],[0.0* Max BF]]*tbl_RACRL_Multi[[Beadj]:[Beadj]]</f>
        <v>0</v>
      </c>
      <c r="EP4" s="44" t="e">
        <f>tbl_RACRL_Multi[[#This Row],[6.0* Max CO2]]/tbl_RACRL_Multi[[EffGHG]:[EffGHG]]</f>
        <v>#DIV/0!</v>
      </c>
      <c r="EQ4" s="44" t="e">
        <f>tbl_RACRL_Multi[[#This Row],[5.5* Max CO2]]/tbl_RACRL_Multi[[EffGHG]:[EffGHG]]</f>
        <v>#DIV/0!</v>
      </c>
      <c r="ER4" s="44" t="e">
        <f>tbl_RACRL_Multi[[#This Row],[5.0* Max CO2]]/tbl_RACRL_Multi[[EffGHG]:[EffGHG]]</f>
        <v>#DIV/0!</v>
      </c>
      <c r="ES4" s="44" t="e">
        <f>tbl_RACRL_Multi[[#This Row],[4.5* Max CO2]]/tbl_RACRL_Multi[[EffGHG]:[EffGHG]]</f>
        <v>#DIV/0!</v>
      </c>
      <c r="ET4" s="44" t="e">
        <f>tbl_RACRL_Multi[[#This Row],[4.0* Max CO2]]/tbl_RACRL_Multi[[EffGHG]:[EffGHG]]</f>
        <v>#DIV/0!</v>
      </c>
      <c r="EU4" s="44" t="e">
        <f>tbl_RACRL_Multi[[#This Row],[3.5* Max CO2]]/tbl_RACRL_Multi[[EffGHG]:[EffGHG]]</f>
        <v>#DIV/0!</v>
      </c>
      <c r="EV4" s="44" t="e">
        <f>tbl_RACRL_Multi[[#This Row],[3.0* Max CO2]]/tbl_RACRL_Multi[[EffGHG]:[EffGHG]]</f>
        <v>#DIV/0!</v>
      </c>
      <c r="EW4" s="44" t="e">
        <f>tbl_RACRL_Multi[[#This Row],[2.5* Max CO2]]/tbl_RACRL_Multi[[EffGHG]:[EffGHG]]</f>
        <v>#DIV/0!</v>
      </c>
      <c r="EX4" s="44" t="e">
        <f>tbl_RACRL_Multi[[#This Row],[2.0* Max CO2]]/tbl_RACRL_Multi[[EffGHG]:[EffGHG]]</f>
        <v>#DIV/0!</v>
      </c>
      <c r="EY4" s="44" t="e">
        <f>tbl_RACRL_Multi[[#This Row],[1.5* Max CO2]]/tbl_RACRL_Multi[[EffGHG]:[EffGHG]]</f>
        <v>#DIV/0!</v>
      </c>
      <c r="EZ4" s="44" t="e">
        <f>tbl_RACRL_Multi[[#This Row],[1.0* Max CO2]]/tbl_RACRL_Multi[[EffGHG]:[EffGHG]]</f>
        <v>#DIV/0!</v>
      </c>
      <c r="FA4" s="44" t="e">
        <f>tbl_RACRL_Multi[[#This Row],[0.0* Max CO2]]/tbl_RACRL_Multi[[EffGHG]:[EffGHG]]</f>
        <v>#DIV/0!</v>
      </c>
      <c r="FB4" s="44" t="e">
        <f>ROUNDDOWN(tbl_RACRL_Multi[[#This Row],[6.0* Max Energy (MJ)]]*tbl_RACRL_Multi[[Electricity (%)]:[Electricity (%)]]/tbl_RACRL_Multi[[CFelec]:[CFelec]],0)</f>
        <v>#DIV/0!</v>
      </c>
      <c r="FC4" s="44" t="e">
        <f>ROUNDDOWN(tbl_RACRL_Multi[[#This Row],[5.5* Max Energy (MJ)]]*tbl_RACRL_Multi[[Electricity (%)]:[Electricity (%)]]/tbl_RACRL_Multi[[CFelec]:[CFelec]],0)</f>
        <v>#DIV/0!</v>
      </c>
      <c r="FD4" s="44" t="e">
        <f>ROUNDDOWN(tbl_RACRL_Multi[[#This Row],[5.0* Max Energy (MJ)]]*tbl_RACRL_Multi[[Electricity (%)]:[Electricity (%)]]/tbl_RACRL_Multi[[CFelec]:[CFelec]],0)</f>
        <v>#DIV/0!</v>
      </c>
      <c r="FE4" s="44" t="e">
        <f>ROUNDDOWN(tbl_RACRL_Multi[[#This Row],[4.5* Max Energy (MJ)]]*tbl_RACRL_Multi[[Electricity (%)]:[Electricity (%)]]/tbl_RACRL_Multi[[CFelec]:[CFelec]],0)</f>
        <v>#DIV/0!</v>
      </c>
      <c r="FF4" s="44" t="e">
        <f>ROUNDDOWN(tbl_RACRL_Multi[[#This Row],[4.0* Max Energy (MJ)]]*tbl_RACRL_Multi[[Electricity (%)]:[Electricity (%)]]/tbl_RACRL_Multi[[CFelec]:[CFelec]],0)</f>
        <v>#DIV/0!</v>
      </c>
      <c r="FG4" s="44" t="e">
        <f>ROUNDDOWN(tbl_RACRL_Multi[[#This Row],[3.5* Max Energy (MJ)]]*tbl_RACRL_Multi[[Electricity (%)]:[Electricity (%)]]/tbl_RACRL_Multi[[CFelec]:[CFelec]],0)</f>
        <v>#DIV/0!</v>
      </c>
      <c r="FH4" s="44" t="e">
        <f>ROUNDDOWN(tbl_RACRL_Multi[[#This Row],[3.0* Max Energy (MJ)]]*tbl_RACRL_Multi[[Electricity (%)]:[Electricity (%)]]/tbl_RACRL_Multi[[CFelec]:[CFelec]],0)</f>
        <v>#DIV/0!</v>
      </c>
      <c r="FI4" s="44" t="e">
        <f>ROUNDDOWN(tbl_RACRL_Multi[[#This Row],[2.5* Max Energy (MJ)]]*tbl_RACRL_Multi[[Electricity (%)]:[Electricity (%)]]/tbl_RACRL_Multi[[CFelec]:[CFelec]],0)</f>
        <v>#DIV/0!</v>
      </c>
      <c r="FJ4" s="44" t="e">
        <f>ROUNDDOWN(tbl_RACRL_Multi[[#This Row],[2.0* Max Energy (MJ)]]*tbl_RACRL_Multi[[Electricity (%)]:[Electricity (%)]]/tbl_RACRL_Multi[[CFelec]:[CFelec]],0)</f>
        <v>#DIV/0!</v>
      </c>
      <c r="FK4" s="44" t="e">
        <f>ROUNDDOWN(tbl_RACRL_Multi[[#This Row],[1.5* Max Energy (MJ)]]*tbl_RACRL_Multi[[Electricity (%)]:[Electricity (%)]]/tbl_RACRL_Multi[[CFelec]:[CFelec]],0)</f>
        <v>#DIV/0!</v>
      </c>
      <c r="FL4" s="44" t="e">
        <f>ROUNDDOWN(tbl_RACRL_Multi[[#This Row],[1.0* Max Energy (MJ)]]*tbl_RACRL_Multi[[Electricity (%)]:[Electricity (%)]]/tbl_RACRL_Multi[[CFelec]:[CFelec]],0)</f>
        <v>#DIV/0!</v>
      </c>
      <c r="FM4" s="44" t="e">
        <f>ROUNDDOWN(tbl_RACRL_Multi[[#This Row],[0.0* Max Energy (MJ)]]*tbl_RACRL_Multi[[Electricity (%)]:[Electricity (%)]]/tbl_RACRL_Multi[[CFelec]:[CFelec]],0)</f>
        <v>#DIV/0!</v>
      </c>
      <c r="FN4" s="44" t="e">
        <f>ROUNDDOWN(tbl_RACRL_Multi[[#This Row],[6.0* Max Energy (MJ)]]*tbl_RACRL_Multi[[Gas (%)]:[Gas (%)]],0)</f>
        <v>#DIV/0!</v>
      </c>
      <c r="FO4" s="44" t="e">
        <f>ROUNDDOWN(tbl_RACRL_Multi[[#This Row],[5.5* Max Energy (MJ)]]*tbl_RACRL_Multi[[Gas (%)]:[Gas (%)]],0)</f>
        <v>#DIV/0!</v>
      </c>
      <c r="FP4" s="44" t="e">
        <f>ROUNDDOWN(tbl_RACRL_Multi[[#This Row],[5.0* Max Energy (MJ)]]*tbl_RACRL_Multi[[Gas (%)]:[Gas (%)]],0)</f>
        <v>#DIV/0!</v>
      </c>
      <c r="FQ4" s="44" t="e">
        <f>ROUNDDOWN(tbl_RACRL_Multi[[#This Row],[4.5* Max Energy (MJ)]]*tbl_RACRL_Multi[[Gas (%)]:[Gas (%)]],0)</f>
        <v>#DIV/0!</v>
      </c>
      <c r="FR4" s="44" t="e">
        <f>ROUNDDOWN(tbl_RACRL_Multi[[#This Row],[4.0* Max Energy (MJ)]]*tbl_RACRL_Multi[[Gas (%)]:[Gas (%)]],0)</f>
        <v>#DIV/0!</v>
      </c>
      <c r="FS4" s="44" t="e">
        <f>ROUNDDOWN(tbl_RACRL_Multi[[#This Row],[3.5* Max Energy (MJ)]]*tbl_RACRL_Multi[[Gas (%)]:[Gas (%)]],0)</f>
        <v>#DIV/0!</v>
      </c>
      <c r="FT4" s="44" t="e">
        <f>ROUNDDOWN(tbl_RACRL_Multi[[#This Row],[3.0* Max Energy (MJ)]]*tbl_RACRL_Multi[[Gas (%)]:[Gas (%)]],0)</f>
        <v>#DIV/0!</v>
      </c>
      <c r="FU4" s="44" t="e">
        <f>ROUNDDOWN(tbl_RACRL_Multi[[#This Row],[2.5* Max Energy (MJ)]]*tbl_RACRL_Multi[[Gas (%)]:[Gas (%)]],0)</f>
        <v>#DIV/0!</v>
      </c>
      <c r="FV4" s="44" t="e">
        <f>ROUNDDOWN(tbl_RACRL_Multi[[#This Row],[2.0* Max Energy (MJ)]]*tbl_RACRL_Multi[[Gas (%)]:[Gas (%)]],0)</f>
        <v>#DIV/0!</v>
      </c>
      <c r="FW4" s="44" t="e">
        <f>ROUNDDOWN(tbl_RACRL_Multi[[#This Row],[1.5* Max Energy (MJ)]]*tbl_RACRL_Multi[[Gas (%)]:[Gas (%)]],0)</f>
        <v>#DIV/0!</v>
      </c>
      <c r="FX4" s="44" t="e">
        <f>ROUNDDOWN(tbl_RACRL_Multi[[#This Row],[1.0* Max Energy (MJ)]]*tbl_RACRL_Multi[[Gas (%)]:[Gas (%)]],0)</f>
        <v>#DIV/0!</v>
      </c>
      <c r="FY4" s="44" t="e">
        <f>ROUNDDOWN(tbl_RACRL_Multi[[#This Row],[0.0* Max Energy (MJ)]]*tbl_RACRL_Multi[[Gas (%)]:[Gas (%)]],0)</f>
        <v>#DIV/0!</v>
      </c>
      <c r="FZ4" s="44" t="e">
        <f>ROUNDDOWN(tbl_RACRL_Multi[[#This Row],[6.0* Max Energy (MJ)]]*tbl_RACRL_Multi[[LPG (%)]:[LPG (%)]]/tbl_RACRL_Multi[[CFlpg]:[CFlpg]],0)</f>
        <v>#DIV/0!</v>
      </c>
      <c r="GA4" s="44" t="e">
        <f>ROUNDDOWN(tbl_RACRL_Multi[[#This Row],[5.5* Max Energy (MJ)]]*tbl_RACRL_Multi[[LPG (%)]:[LPG (%)]]/tbl_RACRL_Multi[[CFlpg]:[CFlpg]],0)</f>
        <v>#DIV/0!</v>
      </c>
      <c r="GB4" s="44" t="e">
        <f>ROUNDDOWN(tbl_RACRL_Multi[[#This Row],[5.0* Max Energy (MJ)]]*tbl_RACRL_Multi[[LPG (%)]:[LPG (%)]]/tbl_RACRL_Multi[[CFlpg]:[CFlpg]],0)</f>
        <v>#DIV/0!</v>
      </c>
      <c r="GC4" s="44" t="e">
        <f>ROUNDDOWN(tbl_RACRL_Multi[[#This Row],[4.5* Max Energy (MJ)]]*tbl_RACRL_Multi[[LPG (%)]:[LPG (%)]]/tbl_RACRL_Multi[[CFlpg]:[CFlpg]],0)</f>
        <v>#DIV/0!</v>
      </c>
      <c r="GD4" s="44" t="e">
        <f>ROUNDDOWN(tbl_RACRL_Multi[[#This Row],[4.0* Max Energy (MJ)]]*tbl_RACRL_Multi[[LPG (%)]:[LPG (%)]]/tbl_RACRL_Multi[[CFlpg]:[CFlpg]],0)</f>
        <v>#DIV/0!</v>
      </c>
      <c r="GE4" s="44" t="e">
        <f>ROUNDDOWN(tbl_RACRL_Multi[[#This Row],[3.5* Max Energy (MJ)]]*tbl_RACRL_Multi[[LPG (%)]:[LPG (%)]]/tbl_RACRL_Multi[[CFlpg]:[CFlpg]],0)</f>
        <v>#DIV/0!</v>
      </c>
      <c r="GF4" s="44" t="e">
        <f>ROUNDDOWN(tbl_RACRL_Multi[[#This Row],[3.0* Max Energy (MJ)]]*tbl_RACRL_Multi[[LPG (%)]:[LPG (%)]]/tbl_RACRL_Multi[[CFlpg]:[CFlpg]],0)</f>
        <v>#DIV/0!</v>
      </c>
      <c r="GG4" s="44" t="e">
        <f>ROUNDDOWN(tbl_RACRL_Multi[[#This Row],[2.5* Max Energy (MJ)]]*tbl_RACRL_Multi[[LPG (%)]:[LPG (%)]]/tbl_RACRL_Multi[[CFlpg]:[CFlpg]],0)</f>
        <v>#DIV/0!</v>
      </c>
      <c r="GH4" s="44" t="e">
        <f>ROUNDDOWN(tbl_RACRL_Multi[[#This Row],[2.0* Max Energy (MJ)]]*tbl_RACRL_Multi[[LPG (%)]:[LPG (%)]]/tbl_RACRL_Multi[[CFlpg]:[CFlpg]],0)</f>
        <v>#DIV/0!</v>
      </c>
      <c r="GI4" s="44" t="e">
        <f>ROUNDDOWN(tbl_RACRL_Multi[[#This Row],[1.5* Max Energy (MJ)]]*tbl_RACRL_Multi[[LPG (%)]:[LPG (%)]]/tbl_RACRL_Multi[[CFlpg]:[CFlpg]],0)</f>
        <v>#DIV/0!</v>
      </c>
      <c r="GJ4" s="44" t="e">
        <f>ROUNDDOWN(tbl_RACRL_Multi[[#This Row],[1.0* Max Energy (MJ)]]*tbl_RACRL_Multi[[LPG (%)]:[LPG (%)]]/tbl_RACRL_Multi[[CFlpg]:[CFlpg]],0)</f>
        <v>#DIV/0!</v>
      </c>
      <c r="GK4" s="44" t="e">
        <f>ROUNDDOWN(tbl_RACRL_Multi[[#This Row],[0.0* Max Energy (MJ)]]*tbl_RACRL_Multi[[LPG (%)]:[LPG (%)]]/tbl_RACRL_Multi[[CFlpg]:[CFlpg]],0)</f>
        <v>#DIV/0!</v>
      </c>
      <c r="GL4" s="44" t="e">
        <f>ROUNDDOWN(tbl_RACRL_Multi[[#This Row],[6.0* Max Energy (MJ)]]*tbl_RACRL_Multi[[Diesel (%)]:[Diesel (%)]]/tbl_RACRL_Multi[[CFdiesel]:[CFdiesel]],0)</f>
        <v>#DIV/0!</v>
      </c>
      <c r="GM4" s="44" t="e">
        <f>ROUNDDOWN(tbl_RACRL_Multi[[#This Row],[5.5* Max Energy (MJ)]]*tbl_RACRL_Multi[[Diesel (%)]:[Diesel (%)]]/tbl_RACRL_Multi[[CFdiesel]:[CFdiesel]],0)</f>
        <v>#DIV/0!</v>
      </c>
      <c r="GN4" s="44" t="e">
        <f>ROUNDDOWN(tbl_RACRL_Multi[[#This Row],[5.0* Max Energy (MJ)]]*tbl_RACRL_Multi[[Diesel (%)]:[Diesel (%)]]/tbl_RACRL_Multi[[CFdiesel]:[CFdiesel]],0)</f>
        <v>#DIV/0!</v>
      </c>
      <c r="GO4" s="44" t="e">
        <f>ROUNDDOWN(tbl_RACRL_Multi[[#This Row],[4.5* Max Energy (MJ)]]*tbl_RACRL_Multi[[Diesel (%)]:[Diesel (%)]]/tbl_RACRL_Multi[[CFdiesel]:[CFdiesel]],0)</f>
        <v>#DIV/0!</v>
      </c>
      <c r="GP4" s="44" t="e">
        <f>ROUNDDOWN(tbl_RACRL_Multi[[#This Row],[4.0* Max Energy (MJ)]]*tbl_RACRL_Multi[[Diesel (%)]:[Diesel (%)]]/tbl_RACRL_Multi[[CFdiesel]:[CFdiesel]],0)</f>
        <v>#DIV/0!</v>
      </c>
      <c r="GQ4" s="44" t="e">
        <f>ROUNDDOWN(tbl_RACRL_Multi[[#This Row],[3.5* Max Energy (MJ)]]*tbl_RACRL_Multi[[Diesel (%)]:[Diesel (%)]]/tbl_RACRL_Multi[[CFdiesel]:[CFdiesel]],0)</f>
        <v>#DIV/0!</v>
      </c>
      <c r="GR4" s="44" t="e">
        <f>ROUNDDOWN(tbl_RACRL_Multi[[#This Row],[3.0* Max Energy (MJ)]]*tbl_RACRL_Multi[[Diesel (%)]:[Diesel (%)]]/tbl_RACRL_Multi[[CFdiesel]:[CFdiesel]],0)</f>
        <v>#DIV/0!</v>
      </c>
      <c r="GS4" s="44" t="e">
        <f>ROUNDDOWN(tbl_RACRL_Multi[[#This Row],[2.5* Max Energy (MJ)]]*tbl_RACRL_Multi[[Diesel (%)]:[Diesel (%)]]/tbl_RACRL_Multi[[CFdiesel]:[CFdiesel]],0)</f>
        <v>#DIV/0!</v>
      </c>
      <c r="GT4" s="44" t="e">
        <f>ROUNDDOWN(tbl_RACRL_Multi[[#This Row],[2.0* Max Energy (MJ)]]*tbl_RACRL_Multi[[Diesel (%)]:[Diesel (%)]]/tbl_RACRL_Multi[[CFdiesel]:[CFdiesel]],0)</f>
        <v>#DIV/0!</v>
      </c>
      <c r="GU4" s="44" t="e">
        <f>ROUNDDOWN(tbl_RACRL_Multi[[#This Row],[1.5* Max Energy (MJ)]]*tbl_RACRL_Multi[[Diesel (%)]:[Diesel (%)]]/tbl_RACRL_Multi[[CFdiesel]:[CFdiesel]],0)</f>
        <v>#DIV/0!</v>
      </c>
      <c r="GV4" s="44" t="e">
        <f>ROUNDDOWN(tbl_RACRL_Multi[[#This Row],[1.0* Max Energy (MJ)]]*tbl_RACRL_Multi[[Diesel (%)]:[Diesel (%)]]/tbl_RACRL_Multi[[CFdiesel]:[CFdiesel]],0)</f>
        <v>#DIV/0!</v>
      </c>
      <c r="GW4" s="44" t="e">
        <f>ROUNDDOWN(tbl_RACRL_Multi[[#This Row],[0.0* Max Energy (MJ)]]*tbl_RACRL_Multi[[Diesel (%)]:[Diesel (%)]]/tbl_RACRL_Multi[[CFdiesel]:[CFdiesel]],0)</f>
        <v>#DIV/0!</v>
      </c>
      <c r="GX4" s="44">
        <f>ROUNDDOWN(tbl_RACRL_Multi[[#This Row],[6.0* Max BF]]*tbl_RACRL_Multi[[Bw]:[Bw]],0)</f>
        <v>0</v>
      </c>
      <c r="GY4" s="44">
        <f>ROUNDDOWN(tbl_RACRL_Multi[[#This Row],[5.5* Max BF]]*tbl_RACRL_Multi[[Bw]:[Bw]],0)</f>
        <v>0</v>
      </c>
      <c r="GZ4" s="44">
        <f>ROUNDDOWN(tbl_RACRL_Multi[[#This Row],[5.0* Max BF]]*tbl_RACRL_Multi[[Bw]:[Bw]],0)</f>
        <v>0</v>
      </c>
      <c r="HA4" s="44">
        <f>ROUNDDOWN(tbl_RACRL_Multi[[#This Row],[4.5* Max BF]]*tbl_RACRL_Multi[[Bw]:[Bw]],0)</f>
        <v>0</v>
      </c>
      <c r="HB4" s="44">
        <f>ROUNDDOWN(tbl_RACRL_Multi[[#This Row],[4.0* Max BF]]*tbl_RACRL_Multi[[Bw]:[Bw]],0)</f>
        <v>0</v>
      </c>
      <c r="HC4" s="44">
        <f>ROUNDDOWN(tbl_RACRL_Multi[[#This Row],[3.5* Max BF]]*tbl_RACRL_Multi[[Bw]:[Bw]],0)</f>
        <v>0</v>
      </c>
      <c r="HD4" s="44">
        <f>ROUNDDOWN(tbl_RACRL_Multi[[#This Row],[3.0* Max BF]]*tbl_RACRL_Multi[[Bw]:[Bw]],0)</f>
        <v>0</v>
      </c>
      <c r="HE4" s="44">
        <f>ROUNDDOWN(tbl_RACRL_Multi[[#This Row],[2.5* Max BF]]*tbl_RACRL_Multi[[Bw]:[Bw]],0)</f>
        <v>0</v>
      </c>
      <c r="HF4" s="44">
        <f>ROUNDDOWN(tbl_RACRL_Multi[[#This Row],[2.0* Max BF]]*tbl_RACRL_Multi[[Bw]:[Bw]],0)</f>
        <v>0</v>
      </c>
      <c r="HG4" s="44">
        <f>ROUNDDOWN(tbl_RACRL_Multi[[#This Row],[1.5* Max BF]]*tbl_RACRL_Multi[[Bw]:[Bw]],0)</f>
        <v>0</v>
      </c>
      <c r="HH4" s="44">
        <f>ROUNDDOWN(tbl_RACRL_Multi[[#This Row],[1.0* Max BF]]*tbl_RACRL_Multi[[Bw]:[Bw]],0)</f>
        <v>0</v>
      </c>
      <c r="HI4" s="44">
        <f>ROUNDDOWN(tbl_RACRL_Multi[[#This Row],[0.0* Max BF]]*tbl_RACRL_Multi[[Bw]:[Bw]],0)</f>
        <v>0</v>
      </c>
      <c r="HJ4" s="44" t="e">
        <f>SUM(tbl_RACRL_Multi[[#This Row],[Electricity]]*(1-tbl_RACRL_Multi[[#This Row],[GP]])*tbl_RACRL_Multi[[#This Row],[SGEe Scopes 1,2&amp;3]],
tbl_RACRL_Multi[[#This Row],[Gas]]*tbl_RACRL_Multi[[#This Row],[SGEg Scopes 1,2&amp;3]],
tbl_RACRL_Multi[[#This Row],[Diesel]]*tbl_RACRL_Multi[[#This Row],[SGEd Scopes 1,2&amp;3]])</f>
        <v>#N/A</v>
      </c>
      <c r="HK4" s="44" t="e">
        <f>SUM(tbl_RACRL_Multi[[#This Row],[Electricity]]*(1-tbl_RACRL_Multi[[#This Row],[GP]])*tbl_RACRL_Multi[[#This Row],[SGEe Scopes 1&amp;2]],
tbl_RACRL_Multi[[#This Row],[Gas]]*tbl_RACRL_Multi[[#This Row],[SGEg Scopes 1&amp;2]],
tbl_RACRL_Multi[[#This Row],[Diesel]]*tbl_RACRL_Multi[[#This Row],[SGEd Scopes 1&amp;2]])</f>
        <v>#N/A</v>
      </c>
      <c r="HL4" s="45" t="e">
        <f>IF(tbl_RACRL_Multi[[#This Row],[Energy Star Decimal (with GP)]]&lt;1,0,MIN(ROUNDDOWN(tbl_RACRL_Multi[[#This Row],[Energy Star Decimal (with GP)]]*2,0)/2,6))</f>
        <v>#N/A</v>
      </c>
      <c r="HM4" s="45" t="e">
        <f>7.001-tbl_RACRL_Multi[[#This Row],[e-BF (with GP)]]/100*3.5018</f>
        <v>#N/A</v>
      </c>
      <c r="HN4" s="45" t="e">
        <f>IF(tbl_RACRL_Multi[[#This Row],[Energy Star Decimal (no GP)]]&lt;1,0,MIN(ROUNDDOWN(tbl_RACRL_Multi[[#This Row],[Energy Star Decimal (no GP)]]*2,0)/2,6))</f>
        <v>#N/A</v>
      </c>
      <c r="HO4" s="45" t="e">
        <f>7.001-tbl_RACRL_Multi[[#This Row],[e-BF (no GP)]]/100*3.5018</f>
        <v>#N/A</v>
      </c>
      <c r="HP4" s="45" t="e">
        <f>SUM(tbl_RACRL_Multi[[#This Row],[Electricity]]*(1-tbl_RACRL_Multi[[#This Row],[GP]])*tbl_RACRL_Multi[[#This Row],[SGEe]],
tbl_RACRL_Multi[[#This Row],[Gas]]*tbl_RACRL_Multi[[#This Row],[SGEg]],
tbl_RACRL_Multi[[#This Row],[Diesel]]*tbl_RACRL_Multi[[#This Row],[SGEd]])</f>
        <v>#N/A</v>
      </c>
      <c r="HQ4" s="45" t="e">
        <f>SUM(tbl_RACRL_Multi[[#This Row],[Electricity]]*tbl_RACRL_Multi[[#This Row],[SGEe]],
tbl_RACRL_Multi[[#This Row],[Gas]]*tbl_RACRL_Multi[[#This Row],[SGEg]],
tbl_RACRL_Multi[[#This Row],[Diesel]]*tbl_RACRL_Multi[[#This Row],[SGEd]])</f>
        <v>#N/A</v>
      </c>
      <c r="HR4" s="45" t="e">
        <f>tbl_RACRL_Multi[[#This Row],[e (with GP)]]/tbl_RACRL_Multi[[#This Row],[Beadj]]*100</f>
        <v>#N/A</v>
      </c>
      <c r="HS4" s="45" t="e">
        <f>tbl_RACRL_Multi[[#This Row],[e (no GP)]]/tbl_RACRL_Multi[[#This Row],[Beadj]]*100</f>
        <v>#N/A</v>
      </c>
      <c r="HT4" s="45" t="e">
        <f>IF(tbl_RACRL_Multi[[#This Row],[Water Star Decimal (with recyc)]]&lt;1,0,MIN(ROUNDDOWN(tbl_RACRL_Multi[[#This Row],[Water Star Decimal (with recyc)]]*2,0)/2,6))</f>
        <v>#DIV/0!</v>
      </c>
      <c r="HU4" s="46" t="e">
        <f>7.001-tbl_RACRL_Multi[[#This Row],[w-BF (with recyc)]]/100*3.5018</f>
        <v>#DIV/0!</v>
      </c>
      <c r="HV4" s="45" t="e">
        <f>IF(tbl_RACRL_Multi[[#This Row],[Water Star Decimal (no recyc)]]&lt;1,0,MIN(ROUNDDOWN(tbl_RACRL_Multi[[#This Row],[Water Star Decimal (no recyc)]]*2,0)/2,6))</f>
        <v>#DIV/0!</v>
      </c>
      <c r="HW4" s="262" t="e">
        <f>7.001-tbl_RACRL_Multi[[#This Row],[w-BF (no recyc)]]/100*3.5018</f>
        <v>#DIV/0!</v>
      </c>
      <c r="HX4" s="36">
        <f>tbl_RACRL_Multi[[#This Row],[Water]]*(1-tbl_RACRL_Multi[[#This Row],[RW]])</f>
        <v>0</v>
      </c>
      <c r="HY4" s="47">
        <f>tbl_RACRL_Multi[[#This Row],[Water]]</f>
        <v>0</v>
      </c>
      <c r="HZ4" s="36" t="e">
        <f>tbl_RACRL_Multi[[#This Row],[w (with recyc)]]/tbl_RACRL_Multi[[#This Row],[Bw]]*100</f>
        <v>#DIV/0!</v>
      </c>
      <c r="IA4" s="36" t="e">
        <f>tbl_RACRL_Multi[[#This Row],[w (no recyc)]]/tbl_RACRL_Multi[[#This Row],[Bw]]*100</f>
        <v>#DIV/0!</v>
      </c>
      <c r="IB4" s="36"/>
      <c r="IC4" s="36"/>
    </row>
    <row r="5" spans="1:237" ht="16.5" customHeight="1">
      <c r="A5" s="484">
        <v>1.7</v>
      </c>
      <c r="B5" s="484">
        <v>3.2</v>
      </c>
      <c r="C5" s="485" t="s">
        <v>1510</v>
      </c>
      <c r="D5" s="485">
        <v>4000</v>
      </c>
      <c r="E5" s="486">
        <v>895.8</v>
      </c>
      <c r="F5" s="486">
        <v>2888</v>
      </c>
      <c r="G5" s="486">
        <v>11</v>
      </c>
      <c r="H5" s="486">
        <v>10</v>
      </c>
      <c r="I5" s="485" t="s">
        <v>653</v>
      </c>
      <c r="J5" s="485">
        <v>12.7</v>
      </c>
      <c r="K5" s="485" t="s">
        <v>653</v>
      </c>
      <c r="L5" s="485">
        <v>40.799999999999997</v>
      </c>
      <c r="M5" s="485" t="s">
        <v>654</v>
      </c>
      <c r="N5" s="486">
        <v>231</v>
      </c>
      <c r="O5" s="486">
        <v>189</v>
      </c>
      <c r="P5" s="487">
        <v>0.93</v>
      </c>
      <c r="Q5" s="487">
        <v>0.03</v>
      </c>
      <c r="R5" s="487">
        <v>0.02</v>
      </c>
      <c r="S5" s="487">
        <v>0.02</v>
      </c>
      <c r="T5" s="532">
        <f>tbl_RACRL_Multi[[#This Row],[Target Max Energy BF]]</f>
        <v>1.513792906505226</v>
      </c>
      <c r="U5" s="42">
        <f>tbl_RACRL_Multi[[#This Row],[Predicted Emissions]]</f>
        <v>151635730.9931404</v>
      </c>
      <c r="V5" s="42">
        <f>tbl_RACRL_Multi[[#This Row],[Target Max CO2]]</f>
        <v>229545093.95015058</v>
      </c>
      <c r="W5" s="378">
        <f>tbl_RACRL_Multi[[#This Row],[Target Max CO2 Intensity]]</f>
        <v>256245.91867621188</v>
      </c>
      <c r="X5" s="378">
        <f>tbl_RACRL_Multi[[#This Row],[Target Max Energy Intensity]]</f>
        <v>1047002.1294879795</v>
      </c>
      <c r="Y5" s="42">
        <f>tbl_RACRL_Multi[[#This Row],[Target Scopes 1,2&amp;3]]</f>
        <v>227194763.23419002</v>
      </c>
      <c r="Z5" s="42">
        <f>tbl_RACRL_Multi[[#This Row],[Target Scopes 1&amp;2]]</f>
        <v>197737058.75187001</v>
      </c>
      <c r="AA5" s="42">
        <f>tbl_RACRL_Multi[[#This Row],[Target Max Elec (kWh)]]</f>
        <v>242291997</v>
      </c>
      <c r="AB5" s="42">
        <f>tbl_RACRL_Multi[[#This Row],[Target Max Gas (MJ)]]</f>
        <v>28137135</v>
      </c>
      <c r="AC5" s="42">
        <f>tbl_RACRL_Multi[[#This Row],[Target Max LPG (L)]]</f>
        <v>729886</v>
      </c>
      <c r="AD5" s="42">
        <f>tbl_RACRL_Multi[[#This Row],[Target Max LPG (MJ)]]</f>
        <v>18758090</v>
      </c>
      <c r="AE5" s="42">
        <f>tbl_RACRL_Multi[[#This Row],[Target Max Diesel (L)]]</f>
        <v>485960</v>
      </c>
      <c r="AF5" s="532">
        <f>tbl_RACRL_Multi[[#This Row],[Target Max Water BF]]</f>
        <v>1.0854417728025587</v>
      </c>
      <c r="AG5" s="42">
        <f>tbl_RACRL_Multi[[#This Row],[Predicted Water]]</f>
        <v>2650858.2832929846</v>
      </c>
      <c r="AH5" s="42">
        <f>tbl_RACRL_Multi[[#This Row],[Target Max Water (kL)]]</f>
        <v>3212</v>
      </c>
      <c r="AI5" s="126">
        <f>tbl_RACRL_Multi[[#This Row],[Target Max Water Intensity]]</f>
        <v>3.5856217905782541</v>
      </c>
      <c r="AJ5" s="285">
        <v>857096</v>
      </c>
      <c r="AK5" s="285">
        <v>2776993</v>
      </c>
      <c r="AL5" s="285">
        <v>7993</v>
      </c>
      <c r="AM5" s="285">
        <v>0</v>
      </c>
      <c r="AN5" s="43">
        <v>0</v>
      </c>
      <c r="AO5" s="285">
        <v>23761</v>
      </c>
      <c r="AP5" s="43">
        <v>0</v>
      </c>
      <c r="AQ5" s="45" t="str">
        <f>INDEX(tbl_Climate_Lookup[],MATCH(tbl_RACRL_Multi[[Postcode]:[Postcode]],tbl_Climate_Lookup[[Postcode]:[Postcode]],0),MATCH(tbl_RACRL_Multi[[#Headers],[State]],tbl_Climate_Lookup[#Headers],0))</f>
        <v>QLD</v>
      </c>
      <c r="AR5" s="45">
        <f>INDEX(tbl_Climate_Lookup[],MATCH(tbl_RACRL_Multi[[Postcode]:[Postcode]],tbl_Climate_Lookup[[Postcode]:[Postcode]],0),MATCH(tbl_RACRL_Multi[[#Headers],[Climate zone]],tbl_Climate_Lookup[#Headers],0))</f>
        <v>51</v>
      </c>
      <c r="AS5" s="169">
        <f>INDEX(tbl_Climate_Lookup[],MATCH(tbl_RACRL_Multi[[Postcode]:[Postcode]],tbl_Climate_Lookup[[Postcode]:[Postcode]],0),MATCH(tbl_RACRL_Multi[[#Headers],[HDD]],tbl_Climate_Lookup[#Headers],0))</f>
        <v>325</v>
      </c>
      <c r="AT5" s="169">
        <f>INDEX(tbl_Climate_Lookup[],MATCH(tbl_RACRL_Multi[[Postcode]:[Postcode]],tbl_Climate_Lookup[[Postcode]:[Postcode]],0),MATCH(tbl_RACRL_Multi[[#Headers],[CDD]],tbl_Climate_Lookup[#Headers],0))</f>
        <v>1043</v>
      </c>
      <c r="AU5" s="169">
        <f>INDEX(tbl_Climate_Lookup[],MATCH(tbl_RACRL_Multi[[Postcode]:[Postcode]],tbl_Climate_Lookup[[Postcode]:[Postcode]],0),MATCH(tbl_RACRL_Multi[[#Headers],[IRR]],tbl_Climate_Lookup[#Headers],0))</f>
        <v>580.41128456734828</v>
      </c>
      <c r="AV5" s="45">
        <f>INDEX(tbl_SGE_2020[],MATCH(tbl_RACRL_Multi[[State]:[State]],tbl_SGE_2020[[State]:[State]],0),MATCH(tbl_RACRL_Multi[[#Headers],[SGEe]],tbl_SGE_2020[#Headers],0))</f>
        <v>0.93</v>
      </c>
      <c r="AW5" s="45">
        <f>INDEX(tbl_SGE_2020[],MATCH(tbl_RACRL_Multi[[State]:[State]],tbl_SGE_2020[[State]:[State]],0),MATCH(tbl_RACRL_Multi[[#Headers],[SGEg]],tbl_SGE_2020[#Headers],0))</f>
        <v>6.0330000000000002E-2</v>
      </c>
      <c r="AX5" s="45">
        <f>INDEX(tbl_SGE_2020[],MATCH(tbl_RACRL_Multi[[State]:[State]],tbl_SGE_2020[[State]:[State]],0),MATCH(tbl_RACRL_Multi[[#Headers],[SGEl]],tbl_SGE_2020[#Headers],0))</f>
        <v>1.5427709999999999</v>
      </c>
      <c r="AY5" s="45">
        <f>IF(tbl_RACRL_Multi[[#This Row],[State]]="TAS",2.8371,
INDEX(tbl_SGE_2020[],MATCH(tbl_RACRL_Multi[[State]:[State]],tbl_SGE_2020[[State]:[State]],0),MATCH(tbl_RACRL_Multi[[#Headers],[SGEd]],tbl_SGE_2020[#Headers],0)))</f>
        <v>2.8486799999999999</v>
      </c>
      <c r="AZ5" s="50">
        <f>INDEX(tbl_Conversion_Factors[[Conversion Factors]:[Conversion Factors]],MATCH(tbl_RACRL_Multi[[#Headers],[CFelec]],tbl_Conversion_Factors[[Reference]:[Reference]],0))</f>
        <v>3.6</v>
      </c>
      <c r="BA5" s="50">
        <f>INDEX(tbl_Conversion_Factors[[Conversion Factors]:[Conversion Factors]],MATCH(tbl_RACRL_Multi[[#Headers],[CFlpg]],tbl_Conversion_Factors[[Reference]:[Reference]],0))</f>
        <v>25.7</v>
      </c>
      <c r="BB5" s="50">
        <f>INDEX(tbl_Conversion_Factors[[Conversion Factors]:[Conversion Factors]],MATCH(tbl_RACRL_Multi[[#Headers],[CFdiesel]],tbl_Conversion_Factors[[Reference]:[Reference]],0))</f>
        <v>38.6</v>
      </c>
      <c r="BC5" s="45">
        <f>tbl_RACRL_Multi[[#This Row],[SGEe]]/tbl_RACRL_Multi[[#This Row],[CFelec]]</f>
        <v>0.25833333333333336</v>
      </c>
      <c r="BD5" s="45">
        <f>tbl_RACRL_Multi[[#This Row],[SGEl]]/tbl_RACRL_Multi[[#This Row],[CFlpg]]</f>
        <v>6.003E-2</v>
      </c>
      <c r="BE5" s="45">
        <f>tbl_RACRL_Multi[[#This Row],[SGEd]]/tbl_RACRL_Multi[[#This Row],[CFdiesel]]</f>
        <v>7.3799999999999991E-2</v>
      </c>
      <c r="BF5" s="46">
        <f>IF(SUM(tbl_RACRL_Multi[[#This Row],[Electricity (%)]:[Diesel (%)]])=1,
SUM(tbl_RACRL_Multi[[#This Row],[Electricity (%)]]*tbl_RACRL_Multi[[#This Row],[SGEeMJ]],
tbl_RACRL_Multi[[#This Row],[Gas (%)]]*tbl_RACRL_Multi[[#This Row],[SGEg]],
tbl_RACRL_Multi[[#This Row],[LPG (%)]]*tbl_RACRL_Multi[[#This Row],[SGEg]],
tbl_RACRL_Multi[[#This Row],[Diesel (%)]]*tbl_RACRL_Multi[[#This Row],[SGEdMJ]]),
0)</f>
        <v>0.24474250000000006</v>
      </c>
      <c r="BG5" s="46">
        <f>INDEX(tbl_NGA_Factors_2021[],MATCH(tbl_RACRL_Multi[[State]:[State]],tbl_NGA_Factors_2021[[State]:[State]],0),MATCH(tbl_RACRL_Multi[[#Headers],[SGEe Scopes 1,2&amp;3]],tbl_NGA_Factors_2021[#Headers],0))</f>
        <v>0.92</v>
      </c>
      <c r="BH5" s="46">
        <f>INDEX(tbl_NGA_Factors_2021[],MATCH(tbl_RACRL_Multi[[State]:[State]],tbl_NGA_Factors_2021[[State]:[State]],0),MATCH(tbl_RACRL_Multi[[#Headers],[SGEg Scopes 1,2&amp;3]],tbl_NGA_Factors_2021[#Headers],0))</f>
        <v>6.0330000000000002E-2</v>
      </c>
      <c r="BI5" s="46">
        <f>INDEX(tbl_NGA_Factors_2021[],MATCH(tbl_RACRL_Multi[[State]:[State]],tbl_NGA_Factors_2021[[State]:[State]],0),MATCH(tbl_RACRL_Multi[[#Headers],[SGEl Scopes 1,2&amp;3]],tbl_NGA_Factors_2021[#Headers],0))</f>
        <v>1.64994</v>
      </c>
      <c r="BJ5" s="46">
        <f>INDEX(tbl_NGA_Factors_2021[],MATCH(tbl_RACRL_Multi[[State]:[State]],tbl_NGA_Factors_2021[[State]:[State]],0),MATCH(tbl_RACRL_Multi[[#Headers],[SGEd Scopes 1,2&amp;3]],tbl_NGA_Factors_2021[#Headers],0))</f>
        <v>2.8486799999999999</v>
      </c>
      <c r="BK5" s="46">
        <f>INDEX(tbl_NGA_Factors_2021[],MATCH(tbl_RACRL_Multi[[State]:[State]],tbl_NGA_Factors_2021[[State]:[State]],0),MATCH(tbl_RACRL_Multi[[#Headers],[SGEe Scopes 1&amp;2]],tbl_NGA_Factors_2021[#Headers],0))</f>
        <v>0.8</v>
      </c>
      <c r="BL5" s="46">
        <f>INDEX(tbl_NGA_Factors_2021[],MATCH(tbl_RACRL_Multi[[State]:[State]],tbl_NGA_Factors_2021[[State]:[State]],0),MATCH(tbl_RACRL_Multi[[#Headers],[SGEg Scopes 1&amp;2]],tbl_NGA_Factors_2021[#Headers],0))</f>
        <v>5.1529999999999999E-2</v>
      </c>
      <c r="BM5" s="46">
        <f>INDEX(tbl_NGA_Factors_2021[],MATCH(tbl_RACRL_Multi[[State]:[State]],tbl_NGA_Factors_2021[[State]:[State]],0),MATCH(tbl_RACRL_Multi[[#Headers],[SGEl Scopes 1&amp;2]],tbl_NGA_Factors_2021[#Headers],0))</f>
        <v>1.55742</v>
      </c>
      <c r="BN5" s="46">
        <f>INDEX(tbl_NGA_Factors_2021[],MATCH(tbl_RACRL_Multi[[State]:[State]],tbl_NGA_Factors_2021[[State]:[State]],0),MATCH(tbl_RACRL_Multi[[#Headers],[SGEd Scopes 1&amp;2]],tbl_NGA_Factors_2021[#Headers],0))</f>
        <v>2.7097199999999999</v>
      </c>
      <c r="BO5" s="45">
        <f>IF(tbl_RACRL_Multi[[#This Row],[Rating Type]]="Residential Aged Care",tbl_RACRL_Multi[[#This Row],[Beadj RAC]],
IF(tbl_RACRL_Multi[[#This Row],[Rating Type]]="Retirement Living",tbl_RACRL_Multi[[#This Row],[Beadj RL]],
IF(tbl_RACRL_Multi[[#This Row],[Rating Type]]="Co-Located Facility",tbl_RACRL_Multi[[#This Row],[Beadj CL]],0)))</f>
        <v>169274.09130736816</v>
      </c>
      <c r="BP5" s="45">
        <f>IF(tbl_RACRL_Multi[[#This Row],[Rating Type]]="Residential Aged Care",tbl_RACRL_Multi[[#This Row],[Beorig RAC]],
IF(tbl_RACRL_Multi[[#This Row],[Rating Type]]="Retirement Living",tbl_RACRL_Multi[[#This Row],[Beorig RL]],
IF(tbl_RACRL_Multi[[#This Row],[Rating Type]]="Co-Located Facility",tbl_RACRL_Multi[[#This Row],[Beorig CL]],0)))</f>
        <v>167372.26791098152</v>
      </c>
      <c r="BQ5" s="45">
        <f>SUM((0.59*tbl_RACRL_Multi[[#This Row],[SGEe]]/0.9),(0.41*tbl_RACRL_Multi[[#This Row],[SGEg]]/0.06463))</f>
        <v>0.99238831296095709</v>
      </c>
      <c r="BR5" s="45">
        <f>SUM((0.94*tbl_RACRL_Multi[[#This Row],[SGEe]]/0.9),(0.06*tbl_RACRL_Multi[[#This Row],[SGEg]]/0.06463))</f>
        <v>1.0273413791324977</v>
      </c>
      <c r="BS5" s="45">
        <f>SUM((0.78*tbl_RACRL_Multi[[#This Row],[SGEe]]/0.9),(0.22*tbl_RACRL_Multi[[#This Row],[SGEg]]/0.06463))</f>
        <v>1.0113628345969365</v>
      </c>
      <c r="BT5" s="45">
        <f>tbl_RACRL_Multi[[#This Row],[State SGE adjustment RAC]]*tbl_RACRL_Multi[[#This Row],[Beorig RAC]]</f>
        <v>83588.518280015254</v>
      </c>
      <c r="BU5" s="45">
        <f>SUM(tbl_RACRL_Multi[[#This Row],[(16.061,0.00018*HDD+2.216*HL)*OBD]],tbl_RACRL_Multi[[#This Row],[1500*(Poolheated-1.7)]],tbl_RACRL_Multi[[#This Row],[2*52*MealsNRWeekly]])</f>
        <v>84229.648000000001</v>
      </c>
      <c r="BV5" s="45">
        <f>tbl_RACRL_Multi[[#This Row],[State SGE adjustment RL]]*tbl_RACRL_Multi[[#This Row],[Beorig RL]]</f>
        <v>122560.4087079514</v>
      </c>
      <c r="BW5" s="45">
        <f>SUM(tbl_RACRL_Multi[[#This Row],[(1500Poolheated + 232.2Dwellings)*(0.000008Site Area + 0.1811)*(0.0009HDD+0.474)]],tbl_RACRL_Multi[[#This Row],[960*Poolunheated]],tbl_RACRL_Multi[[#This Row],[2*52*Mealsweekly]],tbl_RACRL_Multi[[#This Row],[3333.3*Serviced Apartments]])</f>
        <v>119298.61991098152</v>
      </c>
      <c r="BX5" s="45">
        <f>tbl_RACRL_Multi[[#This Row],[State SGE adjustment CL]]*tbl_RACRL_Multi[[#This Row],[Beorig CL]]</f>
        <v>169274.09130736816</v>
      </c>
      <c r="BY5" s="45">
        <f>SUM(RACRL_C_E_RAC_Intercept,
tbl_RACRL_Multi[[#This Row],[0.0018*HDD]],
tbl_RACRL_Multi[[#This Row],[2.216*HL]])*tbl_RACRL_Multi[[#This Row],[OBD]]+
SUM(tbl_RACRL_Multi[[#This Row],[1500*Poolheated]],
tbl_RACRL_Multi[[#This Row],[232.2*Dwellings]])*tbl_RACRL_Multi[[#This Row],[0.000008*Site Area + 0.1811]]*tbl_RACRL_Multi[[#This Row],[0.0009*HDD+0.474]]+
SUM(tbl_RACRL_Multi[[#This Row],[960*Poolunheated]],
tbl_RACRL_Multi[[#This Row],[2*52*Mealsweekly]],
tbl_RACRL_Multi[[#This Row],[3333.3*Serviced Apartments]])</f>
        <v>167372.26791098152</v>
      </c>
      <c r="BZ5" s="45">
        <f>SUM(RACRL_C_E_RAC_Intercept,tbl_RACRL_Multi[[#This Row],[0.0018*HDD]],tbl_RACRL_Multi[[#This Row],[2.216*HL]])*tbl_RACRL_Multi[[#This Row],[OBD]]</f>
        <v>48073.648000000001</v>
      </c>
      <c r="CA5" s="45">
        <f>RACRL_C_E_RAC_HDD*tbl_RACRL_Multi[[#This Row],[HDD]]</f>
        <v>0.58499999999999996</v>
      </c>
      <c r="CB5" s="45">
        <f>IF(tbl_RACRL_Multi[[#This Row],[Heavy Laundry]]="Yes",RACRL_C_E_Heavy_Laundry,0)</f>
        <v>0</v>
      </c>
      <c r="CC5" s="45">
        <f>IF(tbl_RACRL_Multi[[#This Row],[Heated Pool]]="Yes",RACRL_C_E_Heated_Pool*(tbl_RACRL_Multi[[#This Row],[Heated Pool Area]]-RACRL_C_E_Heated_Pool_Area_Adjustment),0)</f>
        <v>16500</v>
      </c>
      <c r="CD5" s="45">
        <f>2*52*tbl_RACRL_Multi[[#This Row],[MealsNonResident]]</f>
        <v>19656</v>
      </c>
      <c r="CE5" s="45">
        <f>SUM(tbl_RACRL_Multi[[#This Row],[1500*Poolheated]],tbl_RACRL_Multi[[#This Row],[232.2*Dwellings]])*tbl_RACRL_Multi[[#This Row],[0.000008*Site Area + 0.1811]]*tbl_RACRL_Multi[[#This Row],[0.0009*HDD+0.474]]</f>
        <v>3117.6199109815198</v>
      </c>
      <c r="CF5" s="45">
        <f>IF(tbl_RACRL_Multi[[#This Row],[Heated Pool]]="Yes",RACRL_C_E_RL_Heated_Pool*tbl_RACRL_Multi[[#This Row],[Heated Pool Area]],0)</f>
        <v>19050</v>
      </c>
      <c r="CG5" s="45">
        <f>RACRL_C_E_RL_Dwellings*tbl_RACRL_Multi[[#This Row],[Dwellings]]</f>
        <v>2554.1999999999998</v>
      </c>
      <c r="CH5" s="45">
        <f>RACRL_C_E_RL_Site_Area*tbl_RACRL_Multi[[#This Row],[Site Area]]+RACRL_C_E_RL_Site_Area_Intercept</f>
        <v>0.1882664</v>
      </c>
      <c r="CI5" s="45">
        <f>RACRL_C_E_RL_HDD*tbl_RACRL_Multi[[#This Row],[HDD]]+RACRL_C_E_RL_HDD_Intercept</f>
        <v>0.76649999999999996</v>
      </c>
      <c r="CJ5" s="45">
        <f>IF(tbl_RACRL_Multi[[#This Row],[Unheated Pool]]="Yes",RACRL_C_E_RL_Unheated_Pool*tbl_RACRL_Multi[[#This Row],[Unheated Pool Area]],0)</f>
        <v>39168</v>
      </c>
      <c r="CK5" s="45">
        <f>RACRL_C_E_Total_Meals*SUM(tbl_RACRL_Multi[[#This Row],[MealsResident]],tbl_RACRL_Multi[[#This Row],[MealsNonResident]])</f>
        <v>43680</v>
      </c>
      <c r="CL5" s="45">
        <f>RACRL_C_E_RL_Serviced_Apartments*tbl_RACRL_Multi[[#This Row],[Serviced Apartments]]</f>
        <v>33333</v>
      </c>
      <c r="CM5" s="36">
        <f>IF(tbl_RACRL_Multi[[#This Row],[Rating Type]]="Residential Aged Care",tbl_RACRL_Multi[[#This Row],[Bw RAC]],
IF(tbl_RACRL_Multi[[#This Row],[Rating Type]]="Retirement Living",tbl_RACRL_Multi[[#This Row],[Bw RL]],
IF(tbl_RACRL_Multi[[#This Row],[Rating Type]]="Co-Located Facility",tbl_RACRL_Multi[[#This Row],[Bw CL]],
0)))</f>
        <v>2959.2077286146291</v>
      </c>
      <c r="CN5" s="36">
        <f>SUM(tbl_RACRL_Multi[[#This Row],[(0.2307+ 0.0001*CDD+0.0529*HL) * ODB]],tbl_RACRL_Multi[[#This Row],[2.132*MealsNR]])</f>
        <v>1370.4279999999999</v>
      </c>
      <c r="CO5" s="36">
        <f>SUM(tbl_RACRL_Multi[[#This Row],[54.355*Dwellings]],tbl_RACRL_Multi[[#This Row],[0.0001*SiteArea*IRR]],tbl_RACRL_Multi[[#This Row],[2.132*MealsWeekly]],tbl_RACRL_Multi[[#This Row],[10*Poolheated-287]])</f>
        <v>1385.3382428715431</v>
      </c>
      <c r="CP5" s="36">
        <f>SUM(tbl_RACRL_Multi[[#This Row],[100.028*Dwellings]],tbl_RACRL_Multi[[#This Row],[0.0003*SiteArea*IRR]],tbl_RACRL_Multi[[#This Row],[2.132*MealsWeekly]],tbl_RACRL_Multi[[#This Row],[10*Poolheated-287]],tbl_RACRL_Multi[[#This Row],[(0.2307+ 0.0001*CDD+0.0529*HL) * ODB]])</f>
        <v>2959.2077286146291</v>
      </c>
      <c r="CQ5" s="36">
        <f>(RACRL_C_W_RAC_Intercept+tbl_RACRL_Multi[[#This Row],[0.0001*CDD]]+tbl_RACRL_Multi[[#This Row],[0.0529*HL]])*tbl_RACRL_Multi[[#This Row],[OBD]]</f>
        <v>967.4799999999999</v>
      </c>
      <c r="CR5" s="36">
        <f>RACRL_C_W_RAC_CDD*tbl_RACRL_Multi[[#This Row],[CDD]]</f>
        <v>0.1043</v>
      </c>
      <c r="CS5" s="36">
        <f>IF(tbl_RACRL_Multi[[#This Row],[Heavy Laundry]]="Yes",RACRL_C_W_RAC_Heavy_Laundry,0)</f>
        <v>0</v>
      </c>
      <c r="CT5" s="36">
        <f>RACRL_C_W_Meals*tbl_RACRL_Multi[[#This Row],[MealsNonResident]]</f>
        <v>402.94800000000004</v>
      </c>
      <c r="CU5" s="36">
        <f>RACRL_C_W_CL_Dwellings*tbl_RACRL_Multi[[#This Row],[Dwellings]]</f>
        <v>1100.308</v>
      </c>
      <c r="CV5" s="36">
        <f>RACRL_C_W_RL_Dwellings*tbl_RACRL_Multi[[#This Row],[Dwellings]]</f>
        <v>597.90499999999997</v>
      </c>
      <c r="CW5" s="36">
        <f>RACRL_C_W_CL_Site_Area_IRR*tbl_RACRL_Multi[[#This Row],[Site Area]]*tbl_RACRL_Multi[[#This Row],[IRR]]</f>
        <v>155.97972861462915</v>
      </c>
      <c r="CX5" s="36">
        <f>RACRL_C_W_RL_Site_Area_IRR*tbl_RACRL_Multi[[#This Row],[Site Area]]*tbl_RACRL_Multi[[#This Row],[IRR]]</f>
        <v>51.993242871543053</v>
      </c>
      <c r="CY5" s="36">
        <f>RACRL_C_W_Meals*SUM(tbl_RACRL_Multi[[#This Row],[MealsResident]],tbl_RACRL_Multi[[#This Row],[MealsNonResident]])</f>
        <v>895.44</v>
      </c>
      <c r="CZ5" s="36">
        <f>IF(tbl_RACRL_Multi[[#This Row],[Heated Pool]]="Yes",RACRL_C_W_Heated_Pool*tbl_RACRL_Multi[[#This Row],[Heated Pool Area]]-RACRL_C_W_Heated_Pool_Area_Offset,-RACRL_C_W_Heated_Pool_Area_Offset)</f>
        <v>-160</v>
      </c>
      <c r="DA5" s="44">
        <f>tbl_RACRL_Multi[[#This Row],[Beadj]]*tbl_RACRL_Multi[[#This Row],[Site Area]]</f>
        <v>151635730.9931404</v>
      </c>
      <c r="DB5" s="296">
        <f>(7.001-tbl_RACRL_Multi[[#This Row],[Target Energy]])/(3.5018)</f>
        <v>1.513792906505226</v>
      </c>
      <c r="DC5" s="44">
        <f>tbl_RACRL_Multi[[#This Row],[Target Max Energy BF]]*tbl_RACRL_Multi[[#This Row],[Predicted Emissions]]</f>
        <v>229545093.95015058</v>
      </c>
      <c r="DD5" s="48">
        <f>tbl_RACRL_Multi[[#This Row],[Target Max CO2]]/IF(tbl_RACRL_Multi[[#This Row],[Rating Type]]="Residential Aged Care",tbl_RACRL_Multi[[#This Row],[OBD]],tbl_RACRL_Multi[[#This Row],[Site Area]])</f>
        <v>256245.91867621188</v>
      </c>
      <c r="DE5" s="44">
        <f>tbl_RACRL_Multi[[#This Row],[Target Max CO2]]/tbl_RACRL_Multi[[EffGHG]:[EffGHG]]</f>
        <v>937904507.59533191</v>
      </c>
      <c r="DF5" s="44">
        <f>tbl_RACRL_Multi[[#This Row],[Target Max Energy (MJ)]]/IF(tbl_RACRL_Multi[[#This Row],[Rating Type]]="Residential Aged Care",tbl_RACRL_Multi[[#This Row],[OBD]],tbl_RACRL_Multi[[#This Row],[Site Area]])</f>
        <v>1047002.1294879795</v>
      </c>
      <c r="DG5" s="44">
        <f>ROUNDDOWN(tbl_RACRL_Multi[[#This Row],[Target Max Energy (MJ)]]*tbl_RACRL_Multi[[Electricity (%)]:[Electricity (%)]]/tbl_RACRL_Multi[[CFelec]:[CFelec]],0)</f>
        <v>242291997</v>
      </c>
      <c r="DH5" s="44">
        <f>ROUNDDOWN(tbl_RACRL_Multi[[#This Row],[Target Max Energy (MJ)]]*tbl_RACRL_Multi[[Gas (%)]:[Gas (%)]],0)</f>
        <v>28137135</v>
      </c>
      <c r="DI5" s="44">
        <f>ROUNDDOWN(tbl_RACRL_Multi[[#This Row],[Target Max Energy (MJ)]]*tbl_RACRL_Multi[[LPG (%)]:[LPG (%)]]/tbl_RACRL_Multi[[CFlpg]:[CFlpg]],0)</f>
        <v>729886</v>
      </c>
      <c r="DJ5" s="44">
        <f>ROUNDDOWN(tbl_RACRL_Multi[[#This Row],[Target Max Energy (MJ)]]*tbl_RACRL_Multi[[Diesel (%)]:[Diesel (%)]]/tbl_RACRL_Multi[[CFdiesel]:[CFdiesel]],0)</f>
        <v>485960</v>
      </c>
      <c r="DK5" s="44">
        <f>ROUNDDOWN(tbl_RACRL_Multi[[#This Row],[Target Max Energy (MJ)]]*tbl_RACRL_Multi[[LPG (%)]:[LPG (%)]],0)</f>
        <v>18758090</v>
      </c>
      <c r="DL5" s="44">
        <f>SUM(tbl_RACRL_Multi[[#This Row],[Target Max Elec (kWh)]]*tbl_RACRL_Multi[[#This Row],[SGEe Scopes 1,2&amp;3]],
tbl_RACRL_Multi[[#This Row],[Target Max Gas (MJ)]]*tbl_RACRL_Multi[[#This Row],[SGEg Scopes 1,2&amp;3]],
tbl_RACRL_Multi[[#This Row],[Target Max LPG (L)]]*tbl_RACRL_Multi[[#This Row],[SGEl Scopes 1,2&amp;3]],
tbl_RACRL_Multi[[#This Row],[Target Max Diesel (L)]]*tbl_RACRL_Multi[[#This Row],[SGEd Scopes 1,2&amp;3]])</f>
        <v>227194763.23419002</v>
      </c>
      <c r="DM5" s="44">
        <f>SUM(tbl_RACRL_Multi[[#This Row],[Target Max Elec (kWh)]]*tbl_RACRL_Multi[[#This Row],[SGEe Scopes 1&amp;2]],
tbl_RACRL_Multi[[#This Row],[Target Max Gas (MJ)]]*tbl_RACRL_Multi[[#This Row],[SGEg Scopes 1&amp;2]],
tbl_RACRL_Multi[[#This Row],[Target Max LPG (L)]]*tbl_RACRL_Multi[[#This Row],[SGEl Scopes 1&amp;2]],
tbl_RACRL_Multi[[#This Row],[Target Max Diesel (L)]]*tbl_RACRL_Multi[[#This Row],[SGEd Scopes 1&amp;2]])</f>
        <v>197737058.75187001</v>
      </c>
      <c r="DN5" s="47">
        <f>tbl_RACRL_Multi[[#This Row],[Bw]]*tbl_RACRL_Multi[[#This Row],[Site Area]]</f>
        <v>2650858.2832929846</v>
      </c>
      <c r="DO5" s="36">
        <f>(7.001-tbl_RACRL_Multi[[#This Row],[Target Water]])/(3.5018)</f>
        <v>1.0854417728025587</v>
      </c>
      <c r="DP5" s="44">
        <f>ROUNDDOWN(tbl_RACRL_Multi[[#This Row],[Target Max Water BF]]*tbl_RACRL_Multi[[#This Row],[Bw]],0)</f>
        <v>3212</v>
      </c>
      <c r="DQ5" s="48">
        <f>tbl_RACRL_Multi[[#This Row],[Target Max Water (kL)]]/IF(tbl_RACRL_Multi[[#This Row],[Rating Type]]="Residential Aged Care",tbl_RACRL_Multi[[#This Row],[OBD]],tbl_RACRL_Multi[[#This Row],[Site Area]])</f>
        <v>3.5856217905782541</v>
      </c>
      <c r="DR5" s="36">
        <f>(7.001-(LEFT(tbl_RACRL_Multi[[#Headers],[6.0* Max BF]],3)))/3.5018</f>
        <v>0.28585298989091334</v>
      </c>
      <c r="DS5" s="36">
        <f>(7.001-(LEFT(tbl_RACRL_Multi[[#Headers],[5.5* Max BF]],3)))/3.5018</f>
        <v>0.42863670112513574</v>
      </c>
      <c r="DT5" s="36">
        <f>(7.001-(LEFT(tbl_RACRL_Multi[[#Headers],[5.0* Max BF]],3)))/3.5018</f>
        <v>0.57142041235935814</v>
      </c>
      <c r="DU5" s="36">
        <f>(7.001-(LEFT(tbl_RACRL_Multi[[#Headers],[4.5* Max BF]],3)))/3.5018</f>
        <v>0.71420412359358054</v>
      </c>
      <c r="DV5" s="36">
        <f>(7.001-(LEFT(tbl_RACRL_Multi[[#Headers],[4.0* Max BF]],3)))/3.5018</f>
        <v>0.85698783482780294</v>
      </c>
      <c r="DW5" s="36">
        <f>(7.001-(LEFT(tbl_RACRL_Multi[[#Headers],[3.5* Max BF]],3)))/3.5018</f>
        <v>0.99977154606202545</v>
      </c>
      <c r="DX5" s="36">
        <f>(7.001-(LEFT(tbl_RACRL_Multi[[#Headers],[3.0* Max BF]],3)))/3.5018</f>
        <v>1.1425552572962479</v>
      </c>
      <c r="DY5" s="36">
        <f>(7.001-(LEFT(tbl_RACRL_Multi[[#Headers],[2.5* Max BF]],3)))/3.5018</f>
        <v>1.2853389685304701</v>
      </c>
      <c r="DZ5" s="36">
        <f>(7.001-(LEFT(tbl_RACRL_Multi[[#Headers],[2.0* Max BF]],3)))/3.5018</f>
        <v>1.4281226797646926</v>
      </c>
      <c r="EA5" s="36">
        <f>(7.001-(LEFT(tbl_RACRL_Multi[[#Headers],[1.5* Max BF]],3)))/3.5018</f>
        <v>1.5709063909989149</v>
      </c>
      <c r="EB5" s="36">
        <f>(7.001-(LEFT(tbl_RACRL_Multi[[#Headers],[1.0* Max BF]],3)))/3.5018</f>
        <v>1.7136901022331374</v>
      </c>
      <c r="EC5" s="36">
        <f>(7.001-(LEFT(tbl_RACRL_Multi[[#Headers],[0.0* Max BF]],3)))/3.5018</f>
        <v>1.9992575247015822</v>
      </c>
      <c r="ED5" s="44">
        <f>tbl_RACRL_Multi[[#This Row],[6.0* Max BF]]*tbl_RACRL_Multi[[Beadj]:[Beadj]]</f>
        <v>48387.505111278653</v>
      </c>
      <c r="EE5" s="44">
        <f>tbl_RACRL_Multi[[#This Row],[5.5* Max BF]]*tbl_RACRL_Multi[[Beadj]:[Beadj]]</f>
        <v>72557.088083945302</v>
      </c>
      <c r="EF5" s="44">
        <f>tbl_RACRL_Multi[[#This Row],[5.0* Max BF]]*tbl_RACRL_Multi[[Beadj]:[Beadj]]</f>
        <v>96726.671056611958</v>
      </c>
      <c r="EG5" s="44">
        <f>tbl_RACRL_Multi[[#This Row],[4.5* Max BF]]*tbl_RACRL_Multi[[Beadj]:[Beadj]]</f>
        <v>120896.2540292786</v>
      </c>
      <c r="EH5" s="44">
        <f>tbl_RACRL_Multi[[#This Row],[4.0* Max BF]]*tbl_RACRL_Multi[[Beadj]:[Beadj]]</f>
        <v>145065.83700194527</v>
      </c>
      <c r="EI5" s="44">
        <f>tbl_RACRL_Multi[[#This Row],[3.5* Max BF]]*tbl_RACRL_Multi[[Beadj]:[Beadj]]</f>
        <v>169235.41997461193</v>
      </c>
      <c r="EJ5" s="44">
        <f>tbl_RACRL_Multi[[#This Row],[3.0* Max BF]]*tbl_RACRL_Multi[[Beadj]:[Beadj]]</f>
        <v>193405.00294727858</v>
      </c>
      <c r="EK5" s="44">
        <f>tbl_RACRL_Multi[[#This Row],[2.5* Max BF]]*tbl_RACRL_Multi[[Beadj]:[Beadj]]</f>
        <v>217574.58591994521</v>
      </c>
      <c r="EL5" s="44">
        <f>tbl_RACRL_Multi[[#This Row],[2.0* Max BF]]*tbl_RACRL_Multi[[Beadj]:[Beadj]]</f>
        <v>241744.16889261187</v>
      </c>
      <c r="EM5" s="44">
        <f>tbl_RACRL_Multi[[#This Row],[1.5* Max BF]]*tbl_RACRL_Multi[[Beadj]:[Beadj]]</f>
        <v>265913.75186527852</v>
      </c>
      <c r="EN5" s="44">
        <f>tbl_RACRL_Multi[[#This Row],[1.0* Max BF]]*tbl_RACRL_Multi[[Beadj]:[Beadj]]</f>
        <v>290083.33483794518</v>
      </c>
      <c r="EO5" s="44">
        <f>tbl_RACRL_Multi[[#This Row],[0.0* Max BF]]*tbl_RACRL_Multi[[Beadj]:[Beadj]]</f>
        <v>338422.50078327849</v>
      </c>
      <c r="EP5" s="44">
        <f>tbl_RACRL_Multi[[#This Row],[6.0* Max CO2]]/tbl_RACRL_Multi[[EffGHG]:[EffGHG]]</f>
        <v>197707.81581163322</v>
      </c>
      <c r="EQ5" s="44">
        <f>tbl_RACRL_Multi[[#This Row],[5.5* Max CO2]]/tbl_RACRL_Multi[[EffGHG]:[EffGHG]]</f>
        <v>296462.96856469673</v>
      </c>
      <c r="ER5" s="44">
        <f>tbl_RACRL_Multi[[#This Row],[5.0* Max CO2]]/tbl_RACRL_Multi[[EffGHG]:[EffGHG]]</f>
        <v>395218.12131776026</v>
      </c>
      <c r="ES5" s="44">
        <f>tbl_RACRL_Multi[[#This Row],[4.5* Max CO2]]/tbl_RACRL_Multi[[EffGHG]:[EffGHG]]</f>
        <v>493973.27407082368</v>
      </c>
      <c r="ET5" s="44">
        <f>tbl_RACRL_Multi[[#This Row],[4.0* Max CO2]]/tbl_RACRL_Multi[[EffGHG]:[EffGHG]]</f>
        <v>592728.42682388728</v>
      </c>
      <c r="EU5" s="44">
        <f>tbl_RACRL_Multi[[#This Row],[3.5* Max CO2]]/tbl_RACRL_Multi[[EffGHG]:[EffGHG]]</f>
        <v>691483.57957695087</v>
      </c>
      <c r="EV5" s="44">
        <f>tbl_RACRL_Multi[[#This Row],[3.0* Max CO2]]/tbl_RACRL_Multi[[EffGHG]:[EffGHG]]</f>
        <v>790238.73233001435</v>
      </c>
      <c r="EW5" s="44">
        <f>tbl_RACRL_Multi[[#This Row],[2.5* Max CO2]]/tbl_RACRL_Multi[[EffGHG]:[EffGHG]]</f>
        <v>888993.88508307771</v>
      </c>
      <c r="EX5" s="44">
        <f>tbl_RACRL_Multi[[#This Row],[2.0* Max CO2]]/tbl_RACRL_Multi[[EffGHG]:[EffGHG]]</f>
        <v>987749.0378361413</v>
      </c>
      <c r="EY5" s="44">
        <f>tbl_RACRL_Multi[[#This Row],[1.5* Max CO2]]/tbl_RACRL_Multi[[EffGHG]:[EffGHG]]</f>
        <v>1086504.1905892049</v>
      </c>
      <c r="EZ5" s="44">
        <f>tbl_RACRL_Multi[[#This Row],[1.0* Max CO2]]/tbl_RACRL_Multi[[EffGHG]:[EffGHG]]</f>
        <v>1185259.3433422684</v>
      </c>
      <c r="FA5" s="44">
        <f>tbl_RACRL_Multi[[#This Row],[0.0* Max CO2]]/tbl_RACRL_Multi[[EffGHG]:[EffGHG]]</f>
        <v>1382769.6488483953</v>
      </c>
      <c r="FB5" s="44">
        <f>ROUNDDOWN(tbl_RACRL_Multi[[#This Row],[6.0* Max Energy (MJ)]]*tbl_RACRL_Multi[[Electricity (%)]:[Electricity (%)]]/tbl_RACRL_Multi[[CFelec]:[CFelec]],0)</f>
        <v>51074</v>
      </c>
      <c r="FC5" s="44">
        <f>ROUNDDOWN(tbl_RACRL_Multi[[#This Row],[5.5* Max Energy (MJ)]]*tbl_RACRL_Multi[[Electricity (%)]:[Electricity (%)]]/tbl_RACRL_Multi[[CFelec]:[CFelec]],0)</f>
        <v>76586</v>
      </c>
      <c r="FD5" s="44">
        <f>ROUNDDOWN(tbl_RACRL_Multi[[#This Row],[5.0* Max Energy (MJ)]]*tbl_RACRL_Multi[[Electricity (%)]:[Electricity (%)]]/tbl_RACRL_Multi[[CFelec]:[CFelec]],0)</f>
        <v>102098</v>
      </c>
      <c r="FE5" s="44">
        <f>ROUNDDOWN(tbl_RACRL_Multi[[#This Row],[4.5* Max Energy (MJ)]]*tbl_RACRL_Multi[[Electricity (%)]:[Electricity (%)]]/tbl_RACRL_Multi[[CFelec]:[CFelec]],0)</f>
        <v>127609</v>
      </c>
      <c r="FF5" s="44">
        <f>ROUNDDOWN(tbl_RACRL_Multi[[#This Row],[4.0* Max Energy (MJ)]]*tbl_RACRL_Multi[[Electricity (%)]:[Electricity (%)]]/tbl_RACRL_Multi[[CFelec]:[CFelec]],0)</f>
        <v>153121</v>
      </c>
      <c r="FG5" s="44">
        <f>ROUNDDOWN(tbl_RACRL_Multi[[#This Row],[3.5* Max Energy (MJ)]]*tbl_RACRL_Multi[[Electricity (%)]:[Electricity (%)]]/tbl_RACRL_Multi[[CFelec]:[CFelec]],0)</f>
        <v>178633</v>
      </c>
      <c r="FH5" s="44">
        <f>ROUNDDOWN(tbl_RACRL_Multi[[#This Row],[3.0* Max Energy (MJ)]]*tbl_RACRL_Multi[[Electricity (%)]:[Electricity (%)]]/tbl_RACRL_Multi[[CFelec]:[CFelec]],0)</f>
        <v>204145</v>
      </c>
      <c r="FI5" s="44">
        <f>ROUNDDOWN(tbl_RACRL_Multi[[#This Row],[2.5* Max Energy (MJ)]]*tbl_RACRL_Multi[[Electricity (%)]:[Electricity (%)]]/tbl_RACRL_Multi[[CFelec]:[CFelec]],0)</f>
        <v>229656</v>
      </c>
      <c r="FJ5" s="44">
        <f>ROUNDDOWN(tbl_RACRL_Multi[[#This Row],[2.0* Max Energy (MJ)]]*tbl_RACRL_Multi[[Electricity (%)]:[Electricity (%)]]/tbl_RACRL_Multi[[CFelec]:[CFelec]],0)</f>
        <v>255168</v>
      </c>
      <c r="FK5" s="44">
        <f>ROUNDDOWN(tbl_RACRL_Multi[[#This Row],[1.5* Max Energy (MJ)]]*tbl_RACRL_Multi[[Electricity (%)]:[Electricity (%)]]/tbl_RACRL_Multi[[CFelec]:[CFelec]],0)</f>
        <v>280680</v>
      </c>
      <c r="FL5" s="44">
        <f>ROUNDDOWN(tbl_RACRL_Multi[[#This Row],[1.0* Max Energy (MJ)]]*tbl_RACRL_Multi[[Electricity (%)]:[Electricity (%)]]/tbl_RACRL_Multi[[CFelec]:[CFelec]],0)</f>
        <v>306191</v>
      </c>
      <c r="FM5" s="44">
        <f>ROUNDDOWN(tbl_RACRL_Multi[[#This Row],[0.0* Max Energy (MJ)]]*tbl_RACRL_Multi[[Electricity (%)]:[Electricity (%)]]/tbl_RACRL_Multi[[CFelec]:[CFelec]],0)</f>
        <v>357215</v>
      </c>
      <c r="FN5" s="44">
        <f>ROUNDDOWN(tbl_RACRL_Multi[[#This Row],[6.0* Max Energy (MJ)]]*tbl_RACRL_Multi[[Gas (%)]:[Gas (%)]],0)</f>
        <v>5931</v>
      </c>
      <c r="FO5" s="44">
        <f>ROUNDDOWN(tbl_RACRL_Multi[[#This Row],[5.5* Max Energy (MJ)]]*tbl_RACRL_Multi[[Gas (%)]:[Gas (%)]],0)</f>
        <v>8893</v>
      </c>
      <c r="FP5" s="44">
        <f>ROUNDDOWN(tbl_RACRL_Multi[[#This Row],[5.0* Max Energy (MJ)]]*tbl_RACRL_Multi[[Gas (%)]:[Gas (%)]],0)</f>
        <v>11856</v>
      </c>
      <c r="FQ5" s="44">
        <f>ROUNDDOWN(tbl_RACRL_Multi[[#This Row],[4.5* Max Energy (MJ)]]*tbl_RACRL_Multi[[Gas (%)]:[Gas (%)]],0)</f>
        <v>14819</v>
      </c>
      <c r="FR5" s="44">
        <f>ROUNDDOWN(tbl_RACRL_Multi[[#This Row],[4.0* Max Energy (MJ)]]*tbl_RACRL_Multi[[Gas (%)]:[Gas (%)]],0)</f>
        <v>17781</v>
      </c>
      <c r="FS5" s="44">
        <f>ROUNDDOWN(tbl_RACRL_Multi[[#This Row],[3.5* Max Energy (MJ)]]*tbl_RACRL_Multi[[Gas (%)]:[Gas (%)]],0)</f>
        <v>20744</v>
      </c>
      <c r="FT5" s="44">
        <f>ROUNDDOWN(tbl_RACRL_Multi[[#This Row],[3.0* Max Energy (MJ)]]*tbl_RACRL_Multi[[Gas (%)]:[Gas (%)]],0)</f>
        <v>23707</v>
      </c>
      <c r="FU5" s="44">
        <f>ROUNDDOWN(tbl_RACRL_Multi[[#This Row],[2.5* Max Energy (MJ)]]*tbl_RACRL_Multi[[Gas (%)]:[Gas (%)]],0)</f>
        <v>26669</v>
      </c>
      <c r="FV5" s="44">
        <f>ROUNDDOWN(tbl_RACRL_Multi[[#This Row],[2.0* Max Energy (MJ)]]*tbl_RACRL_Multi[[Gas (%)]:[Gas (%)]],0)</f>
        <v>29632</v>
      </c>
      <c r="FW5" s="44">
        <f>ROUNDDOWN(tbl_RACRL_Multi[[#This Row],[1.5* Max Energy (MJ)]]*tbl_RACRL_Multi[[Gas (%)]:[Gas (%)]],0)</f>
        <v>32595</v>
      </c>
      <c r="FX5" s="44">
        <f>ROUNDDOWN(tbl_RACRL_Multi[[#This Row],[1.0* Max Energy (MJ)]]*tbl_RACRL_Multi[[Gas (%)]:[Gas (%)]],0)</f>
        <v>35557</v>
      </c>
      <c r="FY5" s="44">
        <f>ROUNDDOWN(tbl_RACRL_Multi[[#This Row],[0.0* Max Energy (MJ)]]*tbl_RACRL_Multi[[Gas (%)]:[Gas (%)]],0)</f>
        <v>41483</v>
      </c>
      <c r="FZ5" s="44">
        <f>ROUNDDOWN(tbl_RACRL_Multi[[#This Row],[6.0* Max Energy (MJ)]]*tbl_RACRL_Multi[[LPG (%)]:[LPG (%)]]/tbl_RACRL_Multi[[CFlpg]:[CFlpg]],0)</f>
        <v>153</v>
      </c>
      <c r="GA5" s="44">
        <f>ROUNDDOWN(tbl_RACRL_Multi[[#This Row],[5.5* Max Energy (MJ)]]*tbl_RACRL_Multi[[LPG (%)]:[LPG (%)]]/tbl_RACRL_Multi[[CFlpg]:[CFlpg]],0)</f>
        <v>230</v>
      </c>
      <c r="GB5" s="44">
        <f>ROUNDDOWN(tbl_RACRL_Multi[[#This Row],[5.0* Max Energy (MJ)]]*tbl_RACRL_Multi[[LPG (%)]:[LPG (%)]]/tbl_RACRL_Multi[[CFlpg]:[CFlpg]],0)</f>
        <v>307</v>
      </c>
      <c r="GC5" s="44">
        <f>ROUNDDOWN(tbl_RACRL_Multi[[#This Row],[4.5* Max Energy (MJ)]]*tbl_RACRL_Multi[[LPG (%)]:[LPG (%)]]/tbl_RACRL_Multi[[CFlpg]:[CFlpg]],0)</f>
        <v>384</v>
      </c>
      <c r="GD5" s="44">
        <f>ROUNDDOWN(tbl_RACRL_Multi[[#This Row],[4.0* Max Energy (MJ)]]*tbl_RACRL_Multi[[LPG (%)]:[LPG (%)]]/tbl_RACRL_Multi[[CFlpg]:[CFlpg]],0)</f>
        <v>461</v>
      </c>
      <c r="GE5" s="44">
        <f>ROUNDDOWN(tbl_RACRL_Multi[[#This Row],[3.5* Max Energy (MJ)]]*tbl_RACRL_Multi[[LPG (%)]:[LPG (%)]]/tbl_RACRL_Multi[[CFlpg]:[CFlpg]],0)</f>
        <v>538</v>
      </c>
      <c r="GF5" s="44">
        <f>ROUNDDOWN(tbl_RACRL_Multi[[#This Row],[3.0* Max Energy (MJ)]]*tbl_RACRL_Multi[[LPG (%)]:[LPG (%)]]/tbl_RACRL_Multi[[CFlpg]:[CFlpg]],0)</f>
        <v>614</v>
      </c>
      <c r="GG5" s="44">
        <f>ROUNDDOWN(tbl_RACRL_Multi[[#This Row],[2.5* Max Energy (MJ)]]*tbl_RACRL_Multi[[LPG (%)]:[LPG (%)]]/tbl_RACRL_Multi[[CFlpg]:[CFlpg]],0)</f>
        <v>691</v>
      </c>
      <c r="GH5" s="44">
        <f>ROUNDDOWN(tbl_RACRL_Multi[[#This Row],[2.0* Max Energy (MJ)]]*tbl_RACRL_Multi[[LPG (%)]:[LPG (%)]]/tbl_RACRL_Multi[[CFlpg]:[CFlpg]],0)</f>
        <v>768</v>
      </c>
      <c r="GI5" s="44">
        <f>ROUNDDOWN(tbl_RACRL_Multi[[#This Row],[1.5* Max Energy (MJ)]]*tbl_RACRL_Multi[[LPG (%)]:[LPG (%)]]/tbl_RACRL_Multi[[CFlpg]:[CFlpg]],0)</f>
        <v>845</v>
      </c>
      <c r="GJ5" s="44">
        <f>ROUNDDOWN(tbl_RACRL_Multi[[#This Row],[1.0* Max Energy (MJ)]]*tbl_RACRL_Multi[[LPG (%)]:[LPG (%)]]/tbl_RACRL_Multi[[CFlpg]:[CFlpg]],0)</f>
        <v>922</v>
      </c>
      <c r="GK5" s="44">
        <f>ROUNDDOWN(tbl_RACRL_Multi[[#This Row],[0.0* Max Energy (MJ)]]*tbl_RACRL_Multi[[LPG (%)]:[LPG (%)]]/tbl_RACRL_Multi[[CFlpg]:[CFlpg]],0)</f>
        <v>1076</v>
      </c>
      <c r="GL5" s="44">
        <f>ROUNDDOWN(tbl_RACRL_Multi[[#This Row],[6.0* Max Energy (MJ)]]*tbl_RACRL_Multi[[Diesel (%)]:[Diesel (%)]]/tbl_RACRL_Multi[[CFdiesel]:[CFdiesel]],0)</f>
        <v>102</v>
      </c>
      <c r="GM5" s="44">
        <f>ROUNDDOWN(tbl_RACRL_Multi[[#This Row],[5.5* Max Energy (MJ)]]*tbl_RACRL_Multi[[Diesel (%)]:[Diesel (%)]]/tbl_RACRL_Multi[[CFdiesel]:[CFdiesel]],0)</f>
        <v>153</v>
      </c>
      <c r="GN5" s="44">
        <f>ROUNDDOWN(tbl_RACRL_Multi[[#This Row],[5.0* Max Energy (MJ)]]*tbl_RACRL_Multi[[Diesel (%)]:[Diesel (%)]]/tbl_RACRL_Multi[[CFdiesel]:[CFdiesel]],0)</f>
        <v>204</v>
      </c>
      <c r="GO5" s="44">
        <f>ROUNDDOWN(tbl_RACRL_Multi[[#This Row],[4.5* Max Energy (MJ)]]*tbl_RACRL_Multi[[Diesel (%)]:[Diesel (%)]]/tbl_RACRL_Multi[[CFdiesel]:[CFdiesel]],0)</f>
        <v>255</v>
      </c>
      <c r="GP5" s="44">
        <f>ROUNDDOWN(tbl_RACRL_Multi[[#This Row],[4.0* Max Energy (MJ)]]*tbl_RACRL_Multi[[Diesel (%)]:[Diesel (%)]]/tbl_RACRL_Multi[[CFdiesel]:[CFdiesel]],0)</f>
        <v>307</v>
      </c>
      <c r="GQ5" s="44">
        <f>ROUNDDOWN(tbl_RACRL_Multi[[#This Row],[3.5* Max Energy (MJ)]]*tbl_RACRL_Multi[[Diesel (%)]:[Diesel (%)]]/tbl_RACRL_Multi[[CFdiesel]:[CFdiesel]],0)</f>
        <v>358</v>
      </c>
      <c r="GR5" s="44">
        <f>ROUNDDOWN(tbl_RACRL_Multi[[#This Row],[3.0* Max Energy (MJ)]]*tbl_RACRL_Multi[[Diesel (%)]:[Diesel (%)]]/tbl_RACRL_Multi[[CFdiesel]:[CFdiesel]],0)</f>
        <v>409</v>
      </c>
      <c r="GS5" s="44">
        <f>ROUNDDOWN(tbl_RACRL_Multi[[#This Row],[2.5* Max Energy (MJ)]]*tbl_RACRL_Multi[[Diesel (%)]:[Diesel (%)]]/tbl_RACRL_Multi[[CFdiesel]:[CFdiesel]],0)</f>
        <v>460</v>
      </c>
      <c r="GT5" s="44">
        <f>ROUNDDOWN(tbl_RACRL_Multi[[#This Row],[2.0* Max Energy (MJ)]]*tbl_RACRL_Multi[[Diesel (%)]:[Diesel (%)]]/tbl_RACRL_Multi[[CFdiesel]:[CFdiesel]],0)</f>
        <v>511</v>
      </c>
      <c r="GU5" s="44">
        <f>ROUNDDOWN(tbl_RACRL_Multi[[#This Row],[1.5* Max Energy (MJ)]]*tbl_RACRL_Multi[[Diesel (%)]:[Diesel (%)]]/tbl_RACRL_Multi[[CFdiesel]:[CFdiesel]],0)</f>
        <v>562</v>
      </c>
      <c r="GV5" s="44">
        <f>ROUNDDOWN(tbl_RACRL_Multi[[#This Row],[1.0* Max Energy (MJ)]]*tbl_RACRL_Multi[[Diesel (%)]:[Diesel (%)]]/tbl_RACRL_Multi[[CFdiesel]:[CFdiesel]],0)</f>
        <v>614</v>
      </c>
      <c r="GW5" s="44">
        <f>ROUNDDOWN(tbl_RACRL_Multi[[#This Row],[0.0* Max Energy (MJ)]]*tbl_RACRL_Multi[[Diesel (%)]:[Diesel (%)]]/tbl_RACRL_Multi[[CFdiesel]:[CFdiesel]],0)</f>
        <v>716</v>
      </c>
      <c r="GX5" s="44">
        <f>ROUNDDOWN(tbl_RACRL_Multi[[#This Row],[6.0* Max BF]]*tbl_RACRL_Multi[[Bw]:[Bw]],0)</f>
        <v>845</v>
      </c>
      <c r="GY5" s="44">
        <f>ROUNDDOWN(tbl_RACRL_Multi[[#This Row],[5.5* Max BF]]*tbl_RACRL_Multi[[Bw]:[Bw]],0)</f>
        <v>1268</v>
      </c>
      <c r="GZ5" s="44">
        <f>ROUNDDOWN(tbl_RACRL_Multi[[#This Row],[5.0* Max BF]]*tbl_RACRL_Multi[[Bw]:[Bw]],0)</f>
        <v>1690</v>
      </c>
      <c r="HA5" s="44">
        <f>ROUNDDOWN(tbl_RACRL_Multi[[#This Row],[4.5* Max BF]]*tbl_RACRL_Multi[[Bw]:[Bw]],0)</f>
        <v>2113</v>
      </c>
      <c r="HB5" s="44">
        <f>ROUNDDOWN(tbl_RACRL_Multi[[#This Row],[4.0* Max BF]]*tbl_RACRL_Multi[[Bw]:[Bw]],0)</f>
        <v>2536</v>
      </c>
      <c r="HC5" s="44">
        <f>ROUNDDOWN(tbl_RACRL_Multi[[#This Row],[3.5* Max BF]]*tbl_RACRL_Multi[[Bw]:[Bw]],0)</f>
        <v>2958</v>
      </c>
      <c r="HD5" s="44">
        <f>ROUNDDOWN(tbl_RACRL_Multi[[#This Row],[3.0* Max BF]]*tbl_RACRL_Multi[[Bw]:[Bw]],0)</f>
        <v>3381</v>
      </c>
      <c r="HE5" s="44">
        <f>ROUNDDOWN(tbl_RACRL_Multi[[#This Row],[2.5* Max BF]]*tbl_RACRL_Multi[[Bw]:[Bw]],0)</f>
        <v>3803</v>
      </c>
      <c r="HF5" s="44">
        <f>ROUNDDOWN(tbl_RACRL_Multi[[#This Row],[2.0* Max BF]]*tbl_RACRL_Multi[[Bw]:[Bw]],0)</f>
        <v>4226</v>
      </c>
      <c r="HG5" s="44">
        <f>ROUNDDOWN(tbl_RACRL_Multi[[#This Row],[1.5* Max BF]]*tbl_RACRL_Multi[[Bw]:[Bw]],0)</f>
        <v>4648</v>
      </c>
      <c r="HH5" s="44">
        <f>ROUNDDOWN(tbl_RACRL_Multi[[#This Row],[1.0* Max BF]]*tbl_RACRL_Multi[[Bw]:[Bw]],0)</f>
        <v>5071</v>
      </c>
      <c r="HI5" s="44">
        <f>ROUNDDOWN(tbl_RACRL_Multi[[#This Row],[0.0* Max BF]]*tbl_RACRL_Multi[[Bw]:[Bw]],0)</f>
        <v>5916</v>
      </c>
      <c r="HJ5" s="44">
        <f>SUM(tbl_RACRL_Multi[[#This Row],[Electricity]]*(1-tbl_RACRL_Multi[[#This Row],[GP]])*tbl_RACRL_Multi[[#This Row],[SGEe Scopes 1,2&amp;3]],
tbl_RACRL_Multi[[#This Row],[Gas]]*tbl_RACRL_Multi[[#This Row],[SGEg Scopes 1,2&amp;3]],
tbl_RACRL_Multi[[#This Row],[Diesel]]*tbl_RACRL_Multi[[#This Row],[SGEd Scopes 1,2&amp;3]])</f>
        <v>978833.80693000008</v>
      </c>
      <c r="HK5" s="44">
        <f>SUM(tbl_RACRL_Multi[[#This Row],[Electricity]]*(1-tbl_RACRL_Multi[[#This Row],[GP]])*tbl_RACRL_Multi[[#This Row],[SGEe Scopes 1&amp;2]],
tbl_RACRL_Multi[[#This Row],[Gas]]*tbl_RACRL_Multi[[#This Row],[SGEg Scopes 1&amp;2]],
tbl_RACRL_Multi[[#This Row],[Diesel]]*tbl_RACRL_Multi[[#This Row],[SGEd Scopes 1&amp;2]])</f>
        <v>850434.04125000001</v>
      </c>
      <c r="HL5" s="45">
        <f>IF(tbl_RACRL_Multi[[#This Row],[Energy Star Decimal (with GP)]]&lt;1,0,MIN(ROUNDDOWN(tbl_RACRL_Multi[[#This Row],[Energy Star Decimal (with GP)]]*2,0)/2,6))</f>
        <v>0</v>
      </c>
      <c r="HM5" s="45">
        <f>7.001-tbl_RACRL_Multi[[#This Row],[e-BF (with GP)]]/100*3.5018</f>
        <v>-13.425599169018653</v>
      </c>
      <c r="HN5" s="45">
        <f>IF(tbl_RACRL_Multi[[#This Row],[Energy Star Decimal (no GP)]]&lt;1,0,MIN(ROUNDDOWN(tbl_RACRL_Multi[[#This Row],[Energy Star Decimal (no GP)]]*2,0)/2,6))</f>
        <v>0</v>
      </c>
      <c r="HO5" s="45">
        <f>7.001-tbl_RACRL_Multi[[#This Row],[e-BF (no GP)]]/100*3.5018</f>
        <v>-13.425599169018653</v>
      </c>
      <c r="HP5" s="45">
        <f>SUM(tbl_RACRL_Multi[[#This Row],[Electricity]]*(1-tbl_RACRL_Multi[[#This Row],[GP]])*tbl_RACRL_Multi[[#This Row],[SGEe]],
tbl_RACRL_Multi[[#This Row],[Gas]]*tbl_RACRL_Multi[[#This Row],[SGEg]],
tbl_RACRL_Multi[[#This Row],[Diesel]]*tbl_RACRL_Multi[[#This Row],[SGEd]])</f>
        <v>987404.76693000004</v>
      </c>
      <c r="HQ5" s="45">
        <f>SUM(tbl_RACRL_Multi[[#This Row],[Electricity]]*tbl_RACRL_Multi[[#This Row],[SGEe]],
tbl_RACRL_Multi[[#This Row],[Gas]]*tbl_RACRL_Multi[[#This Row],[SGEg]],
tbl_RACRL_Multi[[#This Row],[Diesel]]*tbl_RACRL_Multi[[#This Row],[SGEd]])</f>
        <v>987404.76693000004</v>
      </c>
      <c r="HR5" s="45">
        <f>tbl_RACRL_Multi[[#This Row],[e (with GP)]]/tbl_RACRL_Multi[[#This Row],[Beadj]]*100</f>
        <v>583.31712744927336</v>
      </c>
      <c r="HS5" s="45">
        <f>tbl_RACRL_Multi[[#This Row],[e (no GP)]]/tbl_RACRL_Multi[[#This Row],[Beadj]]*100</f>
        <v>583.31712744927336</v>
      </c>
      <c r="HT5" s="45">
        <f>IF(tbl_RACRL_Multi[[#This Row],[Water Star Decimal (with recyc)]]&lt;1,0,MIN(ROUNDDOWN(tbl_RACRL_Multi[[#This Row],[Water Star Decimal (with recyc)]]*2,0)/2,6))</f>
        <v>0</v>
      </c>
      <c r="HU5" s="46">
        <f>7.001-tbl_RACRL_Multi[[#This Row],[w-BF (with recyc)]]/100*3.5018</f>
        <v>-21.116752260316481</v>
      </c>
      <c r="HV5" s="45">
        <f>IF(tbl_RACRL_Multi[[#This Row],[Water Star Decimal (no recyc)]]&lt;1,0,MIN(ROUNDDOWN(tbl_RACRL_Multi[[#This Row],[Water Star Decimal (no recyc)]]*2,0)/2,6))</f>
        <v>0</v>
      </c>
      <c r="HW5" s="262">
        <f>7.001-tbl_RACRL_Multi[[#This Row],[w-BF (no recyc)]]/100*3.5018</f>
        <v>-21.116752260316481</v>
      </c>
      <c r="HX5" s="36">
        <f>tbl_RACRL_Multi[[#This Row],[Water]]*(1-tbl_RACRL_Multi[[#This Row],[RW]])</f>
        <v>23761</v>
      </c>
      <c r="HY5" s="47">
        <f>tbl_RACRL_Multi[[#This Row],[Water]]</f>
        <v>23761</v>
      </c>
      <c r="HZ5" s="36">
        <f>tbl_RACRL_Multi[[#This Row],[w (with recyc)]]/tbl_RACRL_Multi[[#This Row],[Bw]]*100</f>
        <v>802.95140385848663</v>
      </c>
      <c r="IA5" s="36">
        <f>tbl_RACRL_Multi[[#This Row],[w (no recyc)]]/tbl_RACRL_Multi[[#This Row],[Bw]]*100</f>
        <v>802.95140385848663</v>
      </c>
      <c r="IB5" s="36"/>
      <c r="IC5" s="36"/>
    </row>
    <row r="6" spans="1:237" ht="16.5" customHeight="1">
      <c r="A6" s="484">
        <v>3.3</v>
      </c>
      <c r="B6" s="484">
        <v>4.3</v>
      </c>
      <c r="C6" s="485" t="s">
        <v>1511</v>
      </c>
      <c r="D6" s="485">
        <v>800</v>
      </c>
      <c r="E6" s="486">
        <v>50.4</v>
      </c>
      <c r="F6" s="486">
        <v>0</v>
      </c>
      <c r="G6" s="486">
        <v>12</v>
      </c>
      <c r="H6" s="486">
        <v>10</v>
      </c>
      <c r="I6" s="485" t="s">
        <v>653</v>
      </c>
      <c r="J6" s="485">
        <v>64.5</v>
      </c>
      <c r="K6" s="485" t="s">
        <v>654</v>
      </c>
      <c r="L6" s="485">
        <v>0</v>
      </c>
      <c r="M6" s="485">
        <v>0</v>
      </c>
      <c r="N6" s="486">
        <v>252</v>
      </c>
      <c r="O6" s="486">
        <v>336</v>
      </c>
      <c r="P6" s="487">
        <v>0.73</v>
      </c>
      <c r="Q6" s="487">
        <v>0.25</v>
      </c>
      <c r="R6" s="487">
        <v>0.02</v>
      </c>
      <c r="S6" s="487">
        <v>0</v>
      </c>
      <c r="T6" s="532">
        <f>tbl_RACRL_Multi[[#This Row],[Target Max Energy BF]]</f>
        <v>1.0568850305557145</v>
      </c>
      <c r="U6" s="42">
        <f>tbl_RACRL_Multi[[#This Row],[Predicted Emissions]]</f>
        <v>3991337.2227766374</v>
      </c>
      <c r="V6" s="42">
        <f>tbl_RACRL_Multi[[#This Row],[Target Max CO2]]</f>
        <v>4218384.5626524473</v>
      </c>
      <c r="W6" s="378">
        <f>tbl_RACRL_Multi[[#This Row],[Target Max CO2 Intensity]]</f>
        <v>83698.106401834273</v>
      </c>
      <c r="X6" s="378">
        <f>tbl_RACRL_Multi[[#This Row],[Target Max Energy Intensity]]</f>
        <v>544095.64686657488</v>
      </c>
      <c r="Y6" s="42">
        <f>tbl_RACRL_Multi[[#This Row],[Target Scopes 1,2&amp;3]]</f>
        <v>3780479.81525</v>
      </c>
      <c r="Z6" s="42">
        <f>tbl_RACRL_Multi[[#This Row],[Target Scopes 1&amp;2]]</f>
        <v>3556079.15845</v>
      </c>
      <c r="AA6" s="42">
        <f>tbl_RACRL_Multi[[#This Row],[Target Max Elec (kWh)]]</f>
        <v>5560657</v>
      </c>
      <c r="AB6" s="42">
        <f>tbl_RACRL_Multi[[#This Row],[Target Max Gas (MJ)]]</f>
        <v>6855605</v>
      </c>
      <c r="AC6" s="42">
        <f>tbl_RACRL_Multi[[#This Row],[Target Max LPG (L)]]</f>
        <v>21340</v>
      </c>
      <c r="AD6" s="42">
        <f>tbl_RACRL_Multi[[#This Row],[Target Max LPG (MJ)]]</f>
        <v>548448</v>
      </c>
      <c r="AE6" s="42">
        <f>tbl_RACRL_Multi[[#This Row],[Target Max Diesel (L)]]</f>
        <v>0</v>
      </c>
      <c r="AF6" s="532">
        <f>tbl_RACRL_Multi[[#This Row],[Target Max Water BF]]</f>
        <v>0.77131760808726957</v>
      </c>
      <c r="AG6" s="42">
        <f>tbl_RACRL_Multi[[#This Row],[Predicted Water]]</f>
        <v>114317.14554430408</v>
      </c>
      <c r="AH6" s="42">
        <f>tbl_RACRL_Multi[[#This Row],[Target Max Water (kL)]]</f>
        <v>1749</v>
      </c>
      <c r="AI6" s="126">
        <f>tbl_RACRL_Multi[[#This Row],[Target Max Water Intensity]]</f>
        <v>34.702380952380956</v>
      </c>
      <c r="AJ6" s="285">
        <v>416979</v>
      </c>
      <c r="AK6" s="285">
        <v>1351012</v>
      </c>
      <c r="AL6" s="285">
        <v>3888</v>
      </c>
      <c r="AM6" s="285">
        <v>0</v>
      </c>
      <c r="AN6" s="43">
        <v>0</v>
      </c>
      <c r="AO6" s="285">
        <v>23761</v>
      </c>
      <c r="AP6" s="43">
        <v>0</v>
      </c>
      <c r="AQ6" s="45" t="str">
        <f>INDEX(tbl_Climate_Lookup[],MATCH(tbl_RACRL_Multi[[Postcode]:[Postcode]],tbl_Climate_Lookup[[Postcode]:[Postcode]],0),MATCH(tbl_RACRL_Multi[[#Headers],[State]],tbl_Climate_Lookup[#Headers],0))</f>
        <v>NT</v>
      </c>
      <c r="AR6" s="45">
        <f>INDEX(tbl_Climate_Lookup[],MATCH(tbl_RACRL_Multi[[Postcode]:[Postcode]],tbl_Climate_Lookup[[Postcode]:[Postcode]],0),MATCH(tbl_RACRL_Multi[[#Headers],[Climate zone]],tbl_Climate_Lookup[#Headers],0))</f>
        <v>66</v>
      </c>
      <c r="AS6" s="169">
        <f>INDEX(tbl_Climate_Lookup[],MATCH(tbl_RACRL_Multi[[Postcode]:[Postcode]],tbl_Climate_Lookup[[Postcode]:[Postcode]],0),MATCH(tbl_RACRL_Multi[[#Headers],[HDD]],tbl_Climate_Lookup[#Headers],0))</f>
        <v>0</v>
      </c>
      <c r="AT6" s="169">
        <f>INDEX(tbl_Climate_Lookup[],MATCH(tbl_RACRL_Multi[[Postcode]:[Postcode]],tbl_Climate_Lookup[[Postcode]:[Postcode]],0),MATCH(tbl_RACRL_Multi[[#Headers],[CDD]],tbl_Climate_Lookup[#Headers],0))</f>
        <v>2895</v>
      </c>
      <c r="AU6" s="169">
        <f>INDEX(tbl_Climate_Lookup[],MATCH(tbl_RACRL_Multi[[Postcode]:[Postcode]],tbl_Climate_Lookup[[Postcode]:[Postcode]],0),MATCH(tbl_RACRL_Multi[[#Headers],[IRR]],tbl_Climate_Lookup[#Headers],0))</f>
        <v>857.407188146007</v>
      </c>
      <c r="AV6" s="45">
        <f>INDEX(tbl_SGE_2020[],MATCH(tbl_RACRL_Multi[[State]:[State]],tbl_SGE_2020[[State]:[State]],0),MATCH(tbl_RACRL_Multi[[#Headers],[SGEe]],tbl_SGE_2020[#Headers],0))</f>
        <v>0.69</v>
      </c>
      <c r="AW6" s="45">
        <f>INDEX(tbl_SGE_2020[],MATCH(tbl_RACRL_Multi[[State]:[State]],tbl_SGE_2020[[State]:[State]],0),MATCH(tbl_RACRL_Multi[[#Headers],[SGEg]],tbl_SGE_2020[#Headers],0))</f>
        <v>5.1529999999999999E-2</v>
      </c>
      <c r="AX6" s="45">
        <f>INDEX(tbl_SGE_2020[],MATCH(tbl_RACRL_Multi[[State]:[State]],tbl_SGE_2020[[State]:[State]],0),MATCH(tbl_RACRL_Multi[[#Headers],[SGEl]],tbl_SGE_2020[#Headers],0))</f>
        <v>2.3063560000000001</v>
      </c>
      <c r="AY6" s="45">
        <f>IF(tbl_RACRL_Multi[[#This Row],[State]]="TAS",2.8371,
INDEX(tbl_SGE_2020[],MATCH(tbl_RACRL_Multi[[State]:[State]],tbl_SGE_2020[[State]:[State]],0),MATCH(tbl_RACRL_Multi[[#Headers],[SGEd]],tbl_SGE_2020[#Headers],0)))</f>
        <v>2.8486799999999999</v>
      </c>
      <c r="AZ6" s="50">
        <f>INDEX(tbl_Conversion_Factors[[Conversion Factors]:[Conversion Factors]],MATCH(tbl_RACRL_Multi[[#Headers],[CFelec]],tbl_Conversion_Factors[[Reference]:[Reference]],0))</f>
        <v>3.6</v>
      </c>
      <c r="BA6" s="50">
        <f>INDEX(tbl_Conversion_Factors[[Conversion Factors]:[Conversion Factors]],MATCH(tbl_RACRL_Multi[[#Headers],[CFlpg]],tbl_Conversion_Factors[[Reference]:[Reference]],0))</f>
        <v>25.7</v>
      </c>
      <c r="BB6" s="50">
        <f>INDEX(tbl_Conversion_Factors[[Conversion Factors]:[Conversion Factors]],MATCH(tbl_RACRL_Multi[[#Headers],[CFdiesel]],tbl_Conversion_Factors[[Reference]:[Reference]],0))</f>
        <v>38.6</v>
      </c>
      <c r="BC6" s="45">
        <f>tbl_RACRL_Multi[[#This Row],[SGEe]]/tbl_RACRL_Multi[[#This Row],[CFelec]]</f>
        <v>0.19166666666666665</v>
      </c>
      <c r="BD6" s="45">
        <f>tbl_RACRL_Multi[[#This Row],[SGEl]]/tbl_RACRL_Multi[[#This Row],[CFlpg]]</f>
        <v>8.9741478599221797E-2</v>
      </c>
      <c r="BE6" s="45">
        <f>tbl_RACRL_Multi[[#This Row],[SGEd]]/tbl_RACRL_Multi[[#This Row],[CFdiesel]]</f>
        <v>7.3799999999999991E-2</v>
      </c>
      <c r="BF6" s="46">
        <f>IF(SUM(tbl_RACRL_Multi[[#This Row],[Electricity (%)]:[Diesel (%)]])=1,
SUM(tbl_RACRL_Multi[[#This Row],[Electricity (%)]]*tbl_RACRL_Multi[[#This Row],[SGEeMJ]],
tbl_RACRL_Multi[[#This Row],[Gas (%)]]*tbl_RACRL_Multi[[#This Row],[SGEg]],
tbl_RACRL_Multi[[#This Row],[LPG (%)]]*tbl_RACRL_Multi[[#This Row],[SGEg]],
tbl_RACRL_Multi[[#This Row],[Diesel (%)]]*tbl_RACRL_Multi[[#This Row],[SGEdMJ]]),
0)</f>
        <v>0.15382976666666665</v>
      </c>
      <c r="BG6" s="46">
        <f>INDEX(tbl_NGA_Factors_2021[],MATCH(tbl_RACRL_Multi[[State]:[State]],tbl_NGA_Factors_2021[[State]:[State]],0),MATCH(tbl_RACRL_Multi[[#Headers],[SGEe Scopes 1,2&amp;3]],tbl_NGA_Factors_2021[#Headers],0))</f>
        <v>0.61</v>
      </c>
      <c r="BH6" s="46">
        <f>INDEX(tbl_NGA_Factors_2021[],MATCH(tbl_RACRL_Multi[[State]:[State]],tbl_NGA_Factors_2021[[State]:[State]],0),MATCH(tbl_RACRL_Multi[[#Headers],[SGEg Scopes 1,2&amp;3]],tbl_NGA_Factors_2021[#Headers],0))</f>
        <v>5.1529999999999999E-2</v>
      </c>
      <c r="BI6" s="46">
        <f>INDEX(tbl_NGA_Factors_2021[],MATCH(tbl_RACRL_Multi[[State]:[State]],tbl_NGA_Factors_2021[[State]:[State]],0),MATCH(tbl_RACRL_Multi[[#Headers],[SGEl Scopes 1,2&amp;3]],tbl_NGA_Factors_2021[#Headers],0))</f>
        <v>1.64994</v>
      </c>
      <c r="BJ6" s="46">
        <f>INDEX(tbl_NGA_Factors_2021[],MATCH(tbl_RACRL_Multi[[State]:[State]],tbl_NGA_Factors_2021[[State]:[State]],0),MATCH(tbl_RACRL_Multi[[#Headers],[SGEd Scopes 1,2&amp;3]],tbl_NGA_Factors_2021[#Headers],0))</f>
        <v>2.8486799999999999</v>
      </c>
      <c r="BK6" s="46">
        <f>INDEX(tbl_NGA_Factors_2021[],MATCH(tbl_RACRL_Multi[[State]:[State]],tbl_NGA_Factors_2021[[State]:[State]],0),MATCH(tbl_RACRL_Multi[[#Headers],[SGEe Scopes 1&amp;2]],tbl_NGA_Factors_2021[#Headers],0))</f>
        <v>0.56999999999999995</v>
      </c>
      <c r="BL6" s="46">
        <f>INDEX(tbl_NGA_Factors_2021[],MATCH(tbl_RACRL_Multi[[State]:[State]],tbl_NGA_Factors_2021[[State]:[State]],0),MATCH(tbl_RACRL_Multi[[#Headers],[SGEg Scopes 1&amp;2]],tbl_NGA_Factors_2021[#Headers],0))</f>
        <v>5.1529999999999999E-2</v>
      </c>
      <c r="BM6" s="46">
        <f>INDEX(tbl_NGA_Factors_2021[],MATCH(tbl_RACRL_Multi[[State]:[State]],tbl_NGA_Factors_2021[[State]:[State]],0),MATCH(tbl_RACRL_Multi[[#Headers],[SGEl Scopes 1&amp;2]],tbl_NGA_Factors_2021[#Headers],0))</f>
        <v>1.55742</v>
      </c>
      <c r="BN6" s="46">
        <f>INDEX(tbl_NGA_Factors_2021[],MATCH(tbl_RACRL_Multi[[State]:[State]],tbl_NGA_Factors_2021[[State]:[State]],0),MATCH(tbl_RACRL_Multi[[#Headers],[SGEd Scopes 1&amp;2]],tbl_NGA_Factors_2021[#Headers],0))</f>
        <v>2.7097199999999999</v>
      </c>
      <c r="BO6" s="45">
        <f>IF(tbl_RACRL_Multi[[#This Row],[Rating Type]]="Residential Aged Care",tbl_RACRL_Multi[[#This Row],[Beadj RAC]],
IF(tbl_RACRL_Multi[[#This Row],[Rating Type]]="Retirement Living",tbl_RACRL_Multi[[#This Row],[Beadj RL]],
IF(tbl_RACRL_Multi[[#This Row],[Rating Type]]="Co-Located Facility",tbl_RACRL_Multi[[#This Row],[Beadj CL]],0)))</f>
        <v>79193.198864615828</v>
      </c>
      <c r="BP6" s="45">
        <f>IF(tbl_RACRL_Multi[[#This Row],[Rating Type]]="Residential Aged Care",tbl_RACRL_Multi[[#This Row],[Beorig RAC]],
IF(tbl_RACRL_Multi[[#This Row],[Rating Type]]="Retirement Living",tbl_RACRL_Multi[[#This Row],[Beorig RL]],
IF(tbl_RACRL_Multi[[#This Row],[Rating Type]]="Co-Located Facility",tbl_RACRL_Multi[[#This Row],[Beorig CL]],0)))</f>
        <v>103048.36700521152</v>
      </c>
      <c r="BQ6" s="45">
        <f>SUM((0.59*tbl_RACRL_Multi[[#This Row],[SGEe]]/0.9),(0.41*tbl_RACRL_Multi[[#This Row],[SGEg]]/0.06463))</f>
        <v>0.77922951157872999</v>
      </c>
      <c r="BR6" s="45">
        <f>SUM((0.94*tbl_RACRL_Multi[[#This Row],[SGEe]]/0.9),(0.06*tbl_RACRL_Multi[[#This Row],[SGEg]]/0.06463))</f>
        <v>0.76850513177574897</v>
      </c>
      <c r="BS6" s="45">
        <f>SUM((0.78*tbl_RACRL_Multi[[#This Row],[SGEe]]/0.9),(0.22*tbl_RACRL_Multi[[#This Row],[SGEg]]/0.06463))</f>
        <v>0.77340770539996906</v>
      </c>
      <c r="BT6" s="45">
        <f>tbl_RACRL_Multi[[#This Row],[State SGE adjustment RAC]]*tbl_RACRL_Multi[[#This Row],[Beorig RAC]]</f>
        <v>100632.8160433235</v>
      </c>
      <c r="BU6" s="45">
        <f>SUM(tbl_RACRL_Multi[[#This Row],[(16.061,0.00018*HDD+2.216*HL)*OBD]],tbl_RACRL_Multi[[#This Row],[1500*(Poolheated-1.7)]],tbl_RACRL_Multi[[#This Row],[2*52*MealsNRWeekly]])</f>
        <v>129144</v>
      </c>
      <c r="BV6" s="45">
        <f>tbl_RACRL_Multi[[#This Row],[State SGE adjustment RL]]*tbl_RACRL_Multi[[#This Row],[Beorig RL]]</f>
        <v>79193.198864615828</v>
      </c>
      <c r="BW6" s="45">
        <f>SUM(tbl_RACRL_Multi[[#This Row],[(1500Poolheated + 232.2Dwellings)*(0.000008Site Area + 0.1811)*(0.0009HDD+0.474)]],tbl_RACRL_Multi[[#This Row],[960*Poolunheated]],tbl_RACRL_Multi[[#This Row],[2*52*Mealsweekly]],tbl_RACRL_Multi[[#This Row],[3333.3*Serviced Apartments]])</f>
        <v>103048.36700521152</v>
      </c>
      <c r="BX6" s="45">
        <f>tbl_RACRL_Multi[[#This Row],[State SGE adjustment CL]]*tbl_RACRL_Multi[[#This Row],[Beorig CL]]</f>
        <v>79698.401070714521</v>
      </c>
      <c r="BY6" s="45">
        <f>SUM(RACRL_C_E_RAC_Intercept,
tbl_RACRL_Multi[[#This Row],[0.0018*HDD]],
tbl_RACRL_Multi[[#This Row],[2.216*HL]])*tbl_RACRL_Multi[[#This Row],[OBD]]+
SUM(tbl_RACRL_Multi[[#This Row],[1500*Poolheated]],
tbl_RACRL_Multi[[#This Row],[232.2*Dwellings]])*tbl_RACRL_Multi[[#This Row],[0.000008*Site Area + 0.1811]]*tbl_RACRL_Multi[[#This Row],[0.0009*HDD+0.474]]+
SUM(tbl_RACRL_Multi[[#This Row],[960*Poolunheated]],
tbl_RACRL_Multi[[#This Row],[2*52*Mealsweekly]],
tbl_RACRL_Multi[[#This Row],[3333.3*Serviced Apartments]])</f>
        <v>103048.36700521152</v>
      </c>
      <c r="BZ6" s="45">
        <f>SUM(RACRL_C_E_RAC_Intercept,tbl_RACRL_Multi[[#This Row],[0.0018*HDD]],tbl_RACRL_Multi[[#This Row],[2.216*HL]])*tbl_RACRL_Multi[[#This Row],[OBD]]</f>
        <v>0</v>
      </c>
      <c r="CA6" s="45">
        <f>RACRL_C_E_RAC_HDD*tbl_RACRL_Multi[[#This Row],[HDD]]</f>
        <v>0</v>
      </c>
      <c r="CB6" s="45">
        <f>IF(tbl_RACRL_Multi[[#This Row],[Heavy Laundry]]="Yes",RACRL_C_E_Heavy_Laundry,0)</f>
        <v>0</v>
      </c>
      <c r="CC6" s="45">
        <f>IF(tbl_RACRL_Multi[[#This Row],[Heated Pool]]="Yes",RACRL_C_E_Heated_Pool*(tbl_RACRL_Multi[[#This Row],[Heated Pool Area]]-RACRL_C_E_Heated_Pool_Area_Adjustment),0)</f>
        <v>94200</v>
      </c>
      <c r="CD6" s="45">
        <f>2*52*tbl_RACRL_Multi[[#This Row],[MealsNonResident]]</f>
        <v>34944</v>
      </c>
      <c r="CE6" s="45">
        <f>SUM(tbl_RACRL_Multi[[#This Row],[1500*Poolheated]],tbl_RACRL_Multi[[#This Row],[232.2*Dwellings]])*tbl_RACRL_Multi[[#This Row],[0.000008*Site Area + 0.1811]]*tbl_RACRL_Multi[[#This Row],[0.0009*HDD+0.474]]</f>
        <v>8563.3670052115194</v>
      </c>
      <c r="CF6" s="45">
        <f>IF(tbl_RACRL_Multi[[#This Row],[Heated Pool]]="Yes",RACRL_C_E_RL_Heated_Pool*tbl_RACRL_Multi[[#This Row],[Heated Pool Area]],0)</f>
        <v>96750</v>
      </c>
      <c r="CG6" s="45">
        <f>RACRL_C_E_RL_Dwellings*tbl_RACRL_Multi[[#This Row],[Dwellings]]</f>
        <v>2786.3999999999996</v>
      </c>
      <c r="CH6" s="45">
        <f>RACRL_C_E_RL_Site_Area*tbl_RACRL_Multi[[#This Row],[Site Area]]+RACRL_C_E_RL_Site_Area_Intercept</f>
        <v>0.1815032</v>
      </c>
      <c r="CI6" s="45">
        <f>RACRL_C_E_RL_HDD*tbl_RACRL_Multi[[#This Row],[HDD]]+RACRL_C_E_RL_HDD_Intercept</f>
        <v>0.47399999999999998</v>
      </c>
      <c r="CJ6" s="45">
        <f>IF(tbl_RACRL_Multi[[#This Row],[Unheated Pool]]="Yes",RACRL_C_E_RL_Unheated_Pool*tbl_RACRL_Multi[[#This Row],[Unheated Pool Area]],0)</f>
        <v>0</v>
      </c>
      <c r="CK6" s="45">
        <f>RACRL_C_E_Total_Meals*SUM(tbl_RACRL_Multi[[#This Row],[MealsResident]],tbl_RACRL_Multi[[#This Row],[MealsNonResident]])</f>
        <v>61152</v>
      </c>
      <c r="CL6" s="45">
        <f>RACRL_C_E_RL_Serviced_Apartments*tbl_RACRL_Multi[[#This Row],[Serviced Apartments]]</f>
        <v>33333</v>
      </c>
      <c r="CM6" s="36">
        <f>IF(tbl_RACRL_Multi[[#This Row],[Rating Type]]="Residential Aged Care",tbl_RACRL_Multi[[#This Row],[Bw RAC]],
IF(tbl_RACRL_Multi[[#This Row],[Rating Type]]="Retirement Living",tbl_RACRL_Multi[[#This Row],[Bw RL]],
IF(tbl_RACRL_Multi[[#This Row],[Rating Type]]="Co-Located Facility",tbl_RACRL_Multi[[#This Row],[Bw CL]],
0)))</f>
        <v>2268.1973322282556</v>
      </c>
      <c r="CN6" s="36">
        <f>SUM(tbl_RACRL_Multi[[#This Row],[(0.2307+ 0.0001*CDD+0.0529*HL) * ODB]],tbl_RACRL_Multi[[#This Row],[2.132*MealsNR]])</f>
        <v>716.35200000000009</v>
      </c>
      <c r="CO6" s="36">
        <f>SUM(tbl_RACRL_Multi[[#This Row],[54.355*Dwellings]],tbl_RACRL_Multi[[#This Row],[0.0001*SiteArea*IRR]],tbl_RACRL_Multi[[#This Row],[2.132*MealsWeekly]],tbl_RACRL_Multi[[#This Row],[10*Poolheated-287]])</f>
        <v>2268.1973322282556</v>
      </c>
      <c r="CP6" s="36">
        <f>SUM(tbl_RACRL_Multi[[#This Row],[100.028*Dwellings]],tbl_RACRL_Multi[[#This Row],[0.0003*SiteArea*IRR]],tbl_RACRL_Multi[[#This Row],[2.132*MealsWeekly]],tbl_RACRL_Multi[[#This Row],[10*Poolheated-287]],tbl_RACRL_Multi[[#This Row],[(0.2307+ 0.0001*CDD+0.0529*HL) * ODB]])</f>
        <v>2824.9159966847674</v>
      </c>
      <c r="CQ6" s="36">
        <f>(RACRL_C_W_RAC_Intercept+tbl_RACRL_Multi[[#This Row],[0.0001*CDD]]+tbl_RACRL_Multi[[#This Row],[0.0529*HL]])*tbl_RACRL_Multi[[#This Row],[OBD]]</f>
        <v>0</v>
      </c>
      <c r="CR6" s="36">
        <f>RACRL_C_W_RAC_CDD*tbl_RACRL_Multi[[#This Row],[CDD]]</f>
        <v>0.28950000000000004</v>
      </c>
      <c r="CS6" s="36">
        <f>IF(tbl_RACRL_Multi[[#This Row],[Heavy Laundry]]="Yes",RACRL_C_W_RAC_Heavy_Laundry,0)</f>
        <v>0</v>
      </c>
      <c r="CT6" s="36">
        <f>RACRL_C_W_Meals*tbl_RACRL_Multi[[#This Row],[MealsNonResident]]</f>
        <v>716.35200000000009</v>
      </c>
      <c r="CU6" s="36">
        <f>RACRL_C_W_CL_Dwellings*tbl_RACRL_Multi[[#This Row],[Dwellings]]</f>
        <v>1200.336</v>
      </c>
      <c r="CV6" s="36">
        <f>RACRL_C_W_RL_Dwellings*tbl_RACRL_Multi[[#This Row],[Dwellings]]</f>
        <v>652.26</v>
      </c>
      <c r="CW6" s="36">
        <f>RACRL_C_W_CL_Site_Area_IRR*tbl_RACRL_Multi[[#This Row],[Site Area]]*tbl_RACRL_Multi[[#This Row],[IRR]]</f>
        <v>12.963996684767624</v>
      </c>
      <c r="CX6" s="36">
        <f>RACRL_C_W_RL_Site_Area_IRR*tbl_RACRL_Multi[[#This Row],[Site Area]]*tbl_RACRL_Multi[[#This Row],[IRR]]</f>
        <v>4.3213322282558755</v>
      </c>
      <c r="CY6" s="36">
        <f>RACRL_C_W_Meals*SUM(tbl_RACRL_Multi[[#This Row],[MealsResident]],tbl_RACRL_Multi[[#This Row],[MealsNonResident]])</f>
        <v>1253.616</v>
      </c>
      <c r="CZ6" s="36">
        <f>IF(tbl_RACRL_Multi[[#This Row],[Heated Pool]]="Yes",RACRL_C_W_Heated_Pool*tbl_RACRL_Multi[[#This Row],[Heated Pool Area]]-RACRL_C_W_Heated_Pool_Area_Offset,-RACRL_C_W_Heated_Pool_Area_Offset)</f>
        <v>358</v>
      </c>
      <c r="DA6" s="44">
        <f>tbl_RACRL_Multi[[#This Row],[Beadj]]*tbl_RACRL_Multi[[#This Row],[Site Area]]</f>
        <v>3991337.2227766374</v>
      </c>
      <c r="DB6" s="296">
        <f>(7.001-tbl_RACRL_Multi[[#This Row],[Target Energy]])/(3.5018)</f>
        <v>1.0568850305557145</v>
      </c>
      <c r="DC6" s="44">
        <f>tbl_RACRL_Multi[[#This Row],[Target Max Energy BF]]*tbl_RACRL_Multi[[#This Row],[Predicted Emissions]]</f>
        <v>4218384.5626524473</v>
      </c>
      <c r="DD6" s="48">
        <f>tbl_RACRL_Multi[[#This Row],[Target Max CO2]]/IF(tbl_RACRL_Multi[[#This Row],[Rating Type]]="Residential Aged Care",tbl_RACRL_Multi[[#This Row],[OBD]],tbl_RACRL_Multi[[#This Row],[Site Area]])</f>
        <v>83698.106401834273</v>
      </c>
      <c r="DE6" s="44">
        <f>tbl_RACRL_Multi[[#This Row],[Target Max CO2]]/tbl_RACRL_Multi[[EffGHG]:[EffGHG]]</f>
        <v>27422420.602075376</v>
      </c>
      <c r="DF6" s="44">
        <f>tbl_RACRL_Multi[[#This Row],[Target Max Energy (MJ)]]/IF(tbl_RACRL_Multi[[#This Row],[Rating Type]]="Residential Aged Care",tbl_RACRL_Multi[[#This Row],[OBD]],tbl_RACRL_Multi[[#This Row],[Site Area]])</f>
        <v>544095.64686657488</v>
      </c>
      <c r="DG6" s="44">
        <f>ROUNDDOWN(tbl_RACRL_Multi[[#This Row],[Target Max Energy (MJ)]]*tbl_RACRL_Multi[[Electricity (%)]:[Electricity (%)]]/tbl_RACRL_Multi[[CFelec]:[CFelec]],0)</f>
        <v>5560657</v>
      </c>
      <c r="DH6" s="44">
        <f>ROUNDDOWN(tbl_RACRL_Multi[[#This Row],[Target Max Energy (MJ)]]*tbl_RACRL_Multi[[Gas (%)]:[Gas (%)]],0)</f>
        <v>6855605</v>
      </c>
      <c r="DI6" s="44">
        <f>ROUNDDOWN(tbl_RACRL_Multi[[#This Row],[Target Max Energy (MJ)]]*tbl_RACRL_Multi[[LPG (%)]:[LPG (%)]]/tbl_RACRL_Multi[[CFlpg]:[CFlpg]],0)</f>
        <v>21340</v>
      </c>
      <c r="DJ6" s="44">
        <f>ROUNDDOWN(tbl_RACRL_Multi[[#This Row],[Target Max Energy (MJ)]]*tbl_RACRL_Multi[[Diesel (%)]:[Diesel (%)]]/tbl_RACRL_Multi[[CFdiesel]:[CFdiesel]],0)</f>
        <v>0</v>
      </c>
      <c r="DK6" s="44">
        <f>ROUNDDOWN(tbl_RACRL_Multi[[#This Row],[Target Max Energy (MJ)]]*tbl_RACRL_Multi[[LPG (%)]:[LPG (%)]],0)</f>
        <v>548448</v>
      </c>
      <c r="DL6" s="44">
        <f>SUM(tbl_RACRL_Multi[[#This Row],[Target Max Elec (kWh)]]*tbl_RACRL_Multi[[#This Row],[SGEe Scopes 1,2&amp;3]],
tbl_RACRL_Multi[[#This Row],[Target Max Gas (MJ)]]*tbl_RACRL_Multi[[#This Row],[SGEg Scopes 1,2&amp;3]],
tbl_RACRL_Multi[[#This Row],[Target Max LPG (L)]]*tbl_RACRL_Multi[[#This Row],[SGEl Scopes 1,2&amp;3]],
tbl_RACRL_Multi[[#This Row],[Target Max Diesel (L)]]*tbl_RACRL_Multi[[#This Row],[SGEd Scopes 1,2&amp;3]])</f>
        <v>3780479.81525</v>
      </c>
      <c r="DM6" s="44">
        <f>SUM(tbl_RACRL_Multi[[#This Row],[Target Max Elec (kWh)]]*tbl_RACRL_Multi[[#This Row],[SGEe Scopes 1&amp;2]],
tbl_RACRL_Multi[[#This Row],[Target Max Gas (MJ)]]*tbl_RACRL_Multi[[#This Row],[SGEg Scopes 1&amp;2]],
tbl_RACRL_Multi[[#This Row],[Target Max LPG (L)]]*tbl_RACRL_Multi[[#This Row],[SGEl Scopes 1&amp;2]],
tbl_RACRL_Multi[[#This Row],[Target Max Diesel (L)]]*tbl_RACRL_Multi[[#This Row],[SGEd Scopes 1&amp;2]])</f>
        <v>3556079.15845</v>
      </c>
      <c r="DN6" s="47">
        <f>tbl_RACRL_Multi[[#This Row],[Bw]]*tbl_RACRL_Multi[[#This Row],[Site Area]]</f>
        <v>114317.14554430408</v>
      </c>
      <c r="DO6" s="36">
        <f>(7.001-tbl_RACRL_Multi[[#This Row],[Target Water]])/(3.5018)</f>
        <v>0.77131760808726957</v>
      </c>
      <c r="DP6" s="44">
        <f>ROUNDDOWN(tbl_RACRL_Multi[[#This Row],[Target Max Water BF]]*tbl_RACRL_Multi[[#This Row],[Bw]],0)</f>
        <v>1749</v>
      </c>
      <c r="DQ6" s="48">
        <f>tbl_RACRL_Multi[[#This Row],[Target Max Water (kL)]]/IF(tbl_RACRL_Multi[[#This Row],[Rating Type]]="Residential Aged Care",tbl_RACRL_Multi[[#This Row],[OBD]],tbl_RACRL_Multi[[#This Row],[Site Area]])</f>
        <v>34.702380952380956</v>
      </c>
      <c r="DR6" s="36">
        <f>(7.001-(LEFT(tbl_RACRL_Multi[[#Headers],[6.0* Max BF]],3)))/3.5018</f>
        <v>0.28585298989091334</v>
      </c>
      <c r="DS6" s="36">
        <f>(7.001-(LEFT(tbl_RACRL_Multi[[#Headers],[5.5* Max BF]],3)))/3.5018</f>
        <v>0.42863670112513574</v>
      </c>
      <c r="DT6" s="36">
        <f>(7.001-(LEFT(tbl_RACRL_Multi[[#Headers],[5.0* Max BF]],3)))/3.5018</f>
        <v>0.57142041235935814</v>
      </c>
      <c r="DU6" s="36">
        <f>(7.001-(LEFT(tbl_RACRL_Multi[[#Headers],[4.5* Max BF]],3)))/3.5018</f>
        <v>0.71420412359358054</v>
      </c>
      <c r="DV6" s="36">
        <f>(7.001-(LEFT(tbl_RACRL_Multi[[#Headers],[4.0* Max BF]],3)))/3.5018</f>
        <v>0.85698783482780294</v>
      </c>
      <c r="DW6" s="36">
        <f>(7.001-(LEFT(tbl_RACRL_Multi[[#Headers],[3.5* Max BF]],3)))/3.5018</f>
        <v>0.99977154606202545</v>
      </c>
      <c r="DX6" s="36">
        <f>(7.001-(LEFT(tbl_RACRL_Multi[[#Headers],[3.0* Max BF]],3)))/3.5018</f>
        <v>1.1425552572962479</v>
      </c>
      <c r="DY6" s="36">
        <f>(7.001-(LEFT(tbl_RACRL_Multi[[#Headers],[2.5* Max BF]],3)))/3.5018</f>
        <v>1.2853389685304701</v>
      </c>
      <c r="DZ6" s="36">
        <f>(7.001-(LEFT(tbl_RACRL_Multi[[#Headers],[2.0* Max BF]],3)))/3.5018</f>
        <v>1.4281226797646926</v>
      </c>
      <c r="EA6" s="36">
        <f>(7.001-(LEFT(tbl_RACRL_Multi[[#Headers],[1.5* Max BF]],3)))/3.5018</f>
        <v>1.5709063909989149</v>
      </c>
      <c r="EB6" s="36">
        <f>(7.001-(LEFT(tbl_RACRL_Multi[[#Headers],[1.0* Max BF]],3)))/3.5018</f>
        <v>1.7136901022331374</v>
      </c>
      <c r="EC6" s="36">
        <f>(7.001-(LEFT(tbl_RACRL_Multi[[#Headers],[0.0* Max BF]],3)))/3.5018</f>
        <v>1.9992575247015822</v>
      </c>
      <c r="ED6" s="44">
        <f>tbl_RACRL_Multi[[#This Row],[6.0* Max BF]]*tbl_RACRL_Multi[[Beadj]:[Beadj]]</f>
        <v>22637.612674476117</v>
      </c>
      <c r="EE6" s="44">
        <f>tbl_RACRL_Multi[[#This Row],[5.5* Max BF]]*tbl_RACRL_Multi[[Beadj]:[Beadj]]</f>
        <v>33945.111512875774</v>
      </c>
      <c r="EF6" s="44">
        <f>tbl_RACRL_Multi[[#This Row],[5.0* Max BF]]*tbl_RACRL_Multi[[Beadj]:[Beadj]]</f>
        <v>45252.610351275427</v>
      </c>
      <c r="EG6" s="44">
        <f>tbl_RACRL_Multi[[#This Row],[4.5* Max BF]]*tbl_RACRL_Multi[[Beadj]:[Beadj]]</f>
        <v>56560.109189675088</v>
      </c>
      <c r="EH6" s="44">
        <f>tbl_RACRL_Multi[[#This Row],[4.0* Max BF]]*tbl_RACRL_Multi[[Beadj]:[Beadj]]</f>
        <v>67867.608028074741</v>
      </c>
      <c r="EI6" s="44">
        <f>tbl_RACRL_Multi[[#This Row],[3.5* Max BF]]*tbl_RACRL_Multi[[Beadj]:[Beadj]]</f>
        <v>79175.106866474409</v>
      </c>
      <c r="EJ6" s="44">
        <f>tbl_RACRL_Multi[[#This Row],[3.0* Max BF]]*tbl_RACRL_Multi[[Beadj]:[Beadj]]</f>
        <v>90482.605704874062</v>
      </c>
      <c r="EK6" s="44">
        <f>tbl_RACRL_Multi[[#This Row],[2.5* Max BF]]*tbl_RACRL_Multi[[Beadj]:[Beadj]]</f>
        <v>101790.1045432737</v>
      </c>
      <c r="EL6" s="44">
        <f>tbl_RACRL_Multi[[#This Row],[2.0* Max BF]]*tbl_RACRL_Multi[[Beadj]:[Beadj]]</f>
        <v>113097.60338167337</v>
      </c>
      <c r="EM6" s="44">
        <f>tbl_RACRL_Multi[[#This Row],[1.5* Max BF]]*tbl_RACRL_Multi[[Beadj]:[Beadj]]</f>
        <v>124405.10222007302</v>
      </c>
      <c r="EN6" s="44">
        <f>tbl_RACRL_Multi[[#This Row],[1.0* Max BF]]*tbl_RACRL_Multi[[Beadj]:[Beadj]]</f>
        <v>135712.60105847268</v>
      </c>
      <c r="EO6" s="44">
        <f>tbl_RACRL_Multi[[#This Row],[0.0* Max BF]]*tbl_RACRL_Multi[[Beadj]:[Beadj]]</f>
        <v>158327.59873527198</v>
      </c>
      <c r="EP6" s="44">
        <f>tbl_RACRL_Multi[[#This Row],[6.0* Max CO2]]/tbl_RACRL_Multi[[EffGHG]:[EffGHG]]</f>
        <v>147160.15739352649</v>
      </c>
      <c r="EQ6" s="44">
        <f>tbl_RACRL_Multi[[#This Row],[5.5* Max CO2]]/tbl_RACRL_Multi[[EffGHG]:[EffGHG]]</f>
        <v>220666.72951816508</v>
      </c>
      <c r="ER6" s="44">
        <f>tbl_RACRL_Multi[[#This Row],[5.0* Max CO2]]/tbl_RACRL_Multi[[EffGHG]:[EffGHG]]</f>
        <v>294173.30164280365</v>
      </c>
      <c r="ES6" s="44">
        <f>tbl_RACRL_Multi[[#This Row],[4.5* Max CO2]]/tbl_RACRL_Multi[[EffGHG]:[EffGHG]]</f>
        <v>367679.87376744224</v>
      </c>
      <c r="ET6" s="44">
        <f>tbl_RACRL_Multi[[#This Row],[4.0* Max CO2]]/tbl_RACRL_Multi[[EffGHG]:[EffGHG]]</f>
        <v>441186.44589208084</v>
      </c>
      <c r="EU6" s="44">
        <f>tbl_RACRL_Multi[[#This Row],[3.5* Max CO2]]/tbl_RACRL_Multi[[EffGHG]:[EffGHG]]</f>
        <v>514693.01801671949</v>
      </c>
      <c r="EV6" s="44">
        <f>tbl_RACRL_Multi[[#This Row],[3.0* Max CO2]]/tbl_RACRL_Multi[[EffGHG]:[EffGHG]]</f>
        <v>588199.59014135809</v>
      </c>
      <c r="EW6" s="44">
        <f>tbl_RACRL_Multi[[#This Row],[2.5* Max CO2]]/tbl_RACRL_Multi[[EffGHG]:[EffGHG]]</f>
        <v>661706.16226599657</v>
      </c>
      <c r="EX6" s="44">
        <f>tbl_RACRL_Multi[[#This Row],[2.0* Max CO2]]/tbl_RACRL_Multi[[EffGHG]:[EffGHG]]</f>
        <v>735212.73439063516</v>
      </c>
      <c r="EY6" s="44">
        <f>tbl_RACRL_Multi[[#This Row],[1.5* Max CO2]]/tbl_RACRL_Multi[[EffGHG]:[EffGHG]]</f>
        <v>808719.30651527375</v>
      </c>
      <c r="EZ6" s="44">
        <f>tbl_RACRL_Multi[[#This Row],[1.0* Max CO2]]/tbl_RACRL_Multi[[EffGHG]:[EffGHG]]</f>
        <v>882225.87863991235</v>
      </c>
      <c r="FA6" s="44">
        <f>tbl_RACRL_Multi[[#This Row],[0.0* Max CO2]]/tbl_RACRL_Multi[[EffGHG]:[EffGHG]]</f>
        <v>1029239.0228891894</v>
      </c>
      <c r="FB6" s="44">
        <f>ROUNDDOWN(tbl_RACRL_Multi[[#This Row],[6.0* Max Energy (MJ)]]*tbl_RACRL_Multi[[Electricity (%)]:[Electricity (%)]]/tbl_RACRL_Multi[[CFelec]:[CFelec]],0)</f>
        <v>29840</v>
      </c>
      <c r="FC6" s="44">
        <f>ROUNDDOWN(tbl_RACRL_Multi[[#This Row],[5.5* Max Energy (MJ)]]*tbl_RACRL_Multi[[Electricity (%)]:[Electricity (%)]]/tbl_RACRL_Multi[[CFelec]:[CFelec]],0)</f>
        <v>44746</v>
      </c>
      <c r="FD6" s="44">
        <f>ROUNDDOWN(tbl_RACRL_Multi[[#This Row],[5.0* Max Energy (MJ)]]*tbl_RACRL_Multi[[Electricity (%)]:[Electricity (%)]]/tbl_RACRL_Multi[[CFelec]:[CFelec]],0)</f>
        <v>59651</v>
      </c>
      <c r="FE6" s="44">
        <f>ROUNDDOWN(tbl_RACRL_Multi[[#This Row],[4.5* Max Energy (MJ)]]*tbl_RACRL_Multi[[Electricity (%)]:[Electricity (%)]]/tbl_RACRL_Multi[[CFelec]:[CFelec]],0)</f>
        <v>74557</v>
      </c>
      <c r="FF6" s="44">
        <f>ROUNDDOWN(tbl_RACRL_Multi[[#This Row],[4.0* Max Energy (MJ)]]*tbl_RACRL_Multi[[Electricity (%)]:[Electricity (%)]]/tbl_RACRL_Multi[[CFelec]:[CFelec]],0)</f>
        <v>89462</v>
      </c>
      <c r="FG6" s="44">
        <f>ROUNDDOWN(tbl_RACRL_Multi[[#This Row],[3.5* Max Energy (MJ)]]*tbl_RACRL_Multi[[Electricity (%)]:[Electricity (%)]]/tbl_RACRL_Multi[[CFelec]:[CFelec]],0)</f>
        <v>104368</v>
      </c>
      <c r="FH6" s="44">
        <f>ROUNDDOWN(tbl_RACRL_Multi[[#This Row],[3.0* Max Energy (MJ)]]*tbl_RACRL_Multi[[Electricity (%)]:[Electricity (%)]]/tbl_RACRL_Multi[[CFelec]:[CFelec]],0)</f>
        <v>119273</v>
      </c>
      <c r="FI6" s="44">
        <f>ROUNDDOWN(tbl_RACRL_Multi[[#This Row],[2.5* Max Energy (MJ)]]*tbl_RACRL_Multi[[Electricity (%)]:[Electricity (%)]]/tbl_RACRL_Multi[[CFelec]:[CFelec]],0)</f>
        <v>134179</v>
      </c>
      <c r="FJ6" s="44">
        <f>ROUNDDOWN(tbl_RACRL_Multi[[#This Row],[2.0* Max Energy (MJ)]]*tbl_RACRL_Multi[[Electricity (%)]:[Electricity (%)]]/tbl_RACRL_Multi[[CFelec]:[CFelec]],0)</f>
        <v>149084</v>
      </c>
      <c r="FK6" s="44">
        <f>ROUNDDOWN(tbl_RACRL_Multi[[#This Row],[1.5* Max Energy (MJ)]]*tbl_RACRL_Multi[[Electricity (%)]:[Electricity (%)]]/tbl_RACRL_Multi[[CFelec]:[CFelec]],0)</f>
        <v>163990</v>
      </c>
      <c r="FL6" s="44">
        <f>ROUNDDOWN(tbl_RACRL_Multi[[#This Row],[1.0* Max Energy (MJ)]]*tbl_RACRL_Multi[[Electricity (%)]:[Electricity (%)]]/tbl_RACRL_Multi[[CFelec]:[CFelec]],0)</f>
        <v>178895</v>
      </c>
      <c r="FM6" s="44">
        <f>ROUNDDOWN(tbl_RACRL_Multi[[#This Row],[0.0* Max Energy (MJ)]]*tbl_RACRL_Multi[[Electricity (%)]:[Electricity (%)]]/tbl_RACRL_Multi[[CFelec]:[CFelec]],0)</f>
        <v>208706</v>
      </c>
      <c r="FN6" s="44">
        <f>ROUNDDOWN(tbl_RACRL_Multi[[#This Row],[6.0* Max Energy (MJ)]]*tbl_RACRL_Multi[[Gas (%)]:[Gas (%)]],0)</f>
        <v>36790</v>
      </c>
      <c r="FO6" s="44">
        <f>ROUNDDOWN(tbl_RACRL_Multi[[#This Row],[5.5* Max Energy (MJ)]]*tbl_RACRL_Multi[[Gas (%)]:[Gas (%)]],0)</f>
        <v>55166</v>
      </c>
      <c r="FP6" s="44">
        <f>ROUNDDOWN(tbl_RACRL_Multi[[#This Row],[5.0* Max Energy (MJ)]]*tbl_RACRL_Multi[[Gas (%)]:[Gas (%)]],0)</f>
        <v>73543</v>
      </c>
      <c r="FQ6" s="44">
        <f>ROUNDDOWN(tbl_RACRL_Multi[[#This Row],[4.5* Max Energy (MJ)]]*tbl_RACRL_Multi[[Gas (%)]:[Gas (%)]],0)</f>
        <v>91919</v>
      </c>
      <c r="FR6" s="44">
        <f>ROUNDDOWN(tbl_RACRL_Multi[[#This Row],[4.0* Max Energy (MJ)]]*tbl_RACRL_Multi[[Gas (%)]:[Gas (%)]],0)</f>
        <v>110296</v>
      </c>
      <c r="FS6" s="44">
        <f>ROUNDDOWN(tbl_RACRL_Multi[[#This Row],[3.5* Max Energy (MJ)]]*tbl_RACRL_Multi[[Gas (%)]:[Gas (%)]],0)</f>
        <v>128673</v>
      </c>
      <c r="FT6" s="44">
        <f>ROUNDDOWN(tbl_RACRL_Multi[[#This Row],[3.0* Max Energy (MJ)]]*tbl_RACRL_Multi[[Gas (%)]:[Gas (%)]],0)</f>
        <v>147049</v>
      </c>
      <c r="FU6" s="44">
        <f>ROUNDDOWN(tbl_RACRL_Multi[[#This Row],[2.5* Max Energy (MJ)]]*tbl_RACRL_Multi[[Gas (%)]:[Gas (%)]],0)</f>
        <v>165426</v>
      </c>
      <c r="FV6" s="44">
        <f>ROUNDDOWN(tbl_RACRL_Multi[[#This Row],[2.0* Max Energy (MJ)]]*tbl_RACRL_Multi[[Gas (%)]:[Gas (%)]],0)</f>
        <v>183803</v>
      </c>
      <c r="FW6" s="44">
        <f>ROUNDDOWN(tbl_RACRL_Multi[[#This Row],[1.5* Max Energy (MJ)]]*tbl_RACRL_Multi[[Gas (%)]:[Gas (%)]],0)</f>
        <v>202179</v>
      </c>
      <c r="FX6" s="44">
        <f>ROUNDDOWN(tbl_RACRL_Multi[[#This Row],[1.0* Max Energy (MJ)]]*tbl_RACRL_Multi[[Gas (%)]:[Gas (%)]],0)</f>
        <v>220556</v>
      </c>
      <c r="FY6" s="44">
        <f>ROUNDDOWN(tbl_RACRL_Multi[[#This Row],[0.0* Max Energy (MJ)]]*tbl_RACRL_Multi[[Gas (%)]:[Gas (%)]],0)</f>
        <v>257309</v>
      </c>
      <c r="FZ6" s="44">
        <f>ROUNDDOWN(tbl_RACRL_Multi[[#This Row],[6.0* Max Energy (MJ)]]*tbl_RACRL_Multi[[LPG (%)]:[LPG (%)]]/tbl_RACRL_Multi[[CFlpg]:[CFlpg]],0)</f>
        <v>114</v>
      </c>
      <c r="GA6" s="44">
        <f>ROUNDDOWN(tbl_RACRL_Multi[[#This Row],[5.5* Max Energy (MJ)]]*tbl_RACRL_Multi[[LPG (%)]:[LPG (%)]]/tbl_RACRL_Multi[[CFlpg]:[CFlpg]],0)</f>
        <v>171</v>
      </c>
      <c r="GB6" s="44">
        <f>ROUNDDOWN(tbl_RACRL_Multi[[#This Row],[5.0* Max Energy (MJ)]]*tbl_RACRL_Multi[[LPG (%)]:[LPG (%)]]/tbl_RACRL_Multi[[CFlpg]:[CFlpg]],0)</f>
        <v>228</v>
      </c>
      <c r="GC6" s="44">
        <f>ROUNDDOWN(tbl_RACRL_Multi[[#This Row],[4.5* Max Energy (MJ)]]*tbl_RACRL_Multi[[LPG (%)]:[LPG (%)]]/tbl_RACRL_Multi[[CFlpg]:[CFlpg]],0)</f>
        <v>286</v>
      </c>
      <c r="GD6" s="44">
        <f>ROUNDDOWN(tbl_RACRL_Multi[[#This Row],[4.0* Max Energy (MJ)]]*tbl_RACRL_Multi[[LPG (%)]:[LPG (%)]]/tbl_RACRL_Multi[[CFlpg]:[CFlpg]],0)</f>
        <v>343</v>
      </c>
      <c r="GE6" s="44">
        <f>ROUNDDOWN(tbl_RACRL_Multi[[#This Row],[3.5* Max Energy (MJ)]]*tbl_RACRL_Multi[[LPG (%)]:[LPG (%)]]/tbl_RACRL_Multi[[CFlpg]:[CFlpg]],0)</f>
        <v>400</v>
      </c>
      <c r="GF6" s="44">
        <f>ROUNDDOWN(tbl_RACRL_Multi[[#This Row],[3.0* Max Energy (MJ)]]*tbl_RACRL_Multi[[LPG (%)]:[LPG (%)]]/tbl_RACRL_Multi[[CFlpg]:[CFlpg]],0)</f>
        <v>457</v>
      </c>
      <c r="GG6" s="44">
        <f>ROUNDDOWN(tbl_RACRL_Multi[[#This Row],[2.5* Max Energy (MJ)]]*tbl_RACRL_Multi[[LPG (%)]:[LPG (%)]]/tbl_RACRL_Multi[[CFlpg]:[CFlpg]],0)</f>
        <v>514</v>
      </c>
      <c r="GH6" s="44">
        <f>ROUNDDOWN(tbl_RACRL_Multi[[#This Row],[2.0* Max Energy (MJ)]]*tbl_RACRL_Multi[[LPG (%)]:[LPG (%)]]/tbl_RACRL_Multi[[CFlpg]:[CFlpg]],0)</f>
        <v>572</v>
      </c>
      <c r="GI6" s="44">
        <f>ROUNDDOWN(tbl_RACRL_Multi[[#This Row],[1.5* Max Energy (MJ)]]*tbl_RACRL_Multi[[LPG (%)]:[LPG (%)]]/tbl_RACRL_Multi[[CFlpg]:[CFlpg]],0)</f>
        <v>629</v>
      </c>
      <c r="GJ6" s="44">
        <f>ROUNDDOWN(tbl_RACRL_Multi[[#This Row],[1.0* Max Energy (MJ)]]*tbl_RACRL_Multi[[LPG (%)]:[LPG (%)]]/tbl_RACRL_Multi[[CFlpg]:[CFlpg]],0)</f>
        <v>686</v>
      </c>
      <c r="GK6" s="44">
        <f>ROUNDDOWN(tbl_RACRL_Multi[[#This Row],[0.0* Max Energy (MJ)]]*tbl_RACRL_Multi[[LPG (%)]:[LPG (%)]]/tbl_RACRL_Multi[[CFlpg]:[CFlpg]],0)</f>
        <v>800</v>
      </c>
      <c r="GL6" s="44">
        <f>ROUNDDOWN(tbl_RACRL_Multi[[#This Row],[6.0* Max Energy (MJ)]]*tbl_RACRL_Multi[[Diesel (%)]:[Diesel (%)]]/tbl_RACRL_Multi[[CFdiesel]:[CFdiesel]],0)</f>
        <v>0</v>
      </c>
      <c r="GM6" s="44">
        <f>ROUNDDOWN(tbl_RACRL_Multi[[#This Row],[5.5* Max Energy (MJ)]]*tbl_RACRL_Multi[[Diesel (%)]:[Diesel (%)]]/tbl_RACRL_Multi[[CFdiesel]:[CFdiesel]],0)</f>
        <v>0</v>
      </c>
      <c r="GN6" s="44">
        <f>ROUNDDOWN(tbl_RACRL_Multi[[#This Row],[5.0* Max Energy (MJ)]]*tbl_RACRL_Multi[[Diesel (%)]:[Diesel (%)]]/tbl_RACRL_Multi[[CFdiesel]:[CFdiesel]],0)</f>
        <v>0</v>
      </c>
      <c r="GO6" s="44">
        <f>ROUNDDOWN(tbl_RACRL_Multi[[#This Row],[4.5* Max Energy (MJ)]]*tbl_RACRL_Multi[[Diesel (%)]:[Diesel (%)]]/tbl_RACRL_Multi[[CFdiesel]:[CFdiesel]],0)</f>
        <v>0</v>
      </c>
      <c r="GP6" s="44">
        <f>ROUNDDOWN(tbl_RACRL_Multi[[#This Row],[4.0* Max Energy (MJ)]]*tbl_RACRL_Multi[[Diesel (%)]:[Diesel (%)]]/tbl_RACRL_Multi[[CFdiesel]:[CFdiesel]],0)</f>
        <v>0</v>
      </c>
      <c r="GQ6" s="44">
        <f>ROUNDDOWN(tbl_RACRL_Multi[[#This Row],[3.5* Max Energy (MJ)]]*tbl_RACRL_Multi[[Diesel (%)]:[Diesel (%)]]/tbl_RACRL_Multi[[CFdiesel]:[CFdiesel]],0)</f>
        <v>0</v>
      </c>
      <c r="GR6" s="44">
        <f>ROUNDDOWN(tbl_RACRL_Multi[[#This Row],[3.0* Max Energy (MJ)]]*tbl_RACRL_Multi[[Diesel (%)]:[Diesel (%)]]/tbl_RACRL_Multi[[CFdiesel]:[CFdiesel]],0)</f>
        <v>0</v>
      </c>
      <c r="GS6" s="44">
        <f>ROUNDDOWN(tbl_RACRL_Multi[[#This Row],[2.5* Max Energy (MJ)]]*tbl_RACRL_Multi[[Diesel (%)]:[Diesel (%)]]/tbl_RACRL_Multi[[CFdiesel]:[CFdiesel]],0)</f>
        <v>0</v>
      </c>
      <c r="GT6" s="44">
        <f>ROUNDDOWN(tbl_RACRL_Multi[[#This Row],[2.0* Max Energy (MJ)]]*tbl_RACRL_Multi[[Diesel (%)]:[Diesel (%)]]/tbl_RACRL_Multi[[CFdiesel]:[CFdiesel]],0)</f>
        <v>0</v>
      </c>
      <c r="GU6" s="44">
        <f>ROUNDDOWN(tbl_RACRL_Multi[[#This Row],[1.5* Max Energy (MJ)]]*tbl_RACRL_Multi[[Diesel (%)]:[Diesel (%)]]/tbl_RACRL_Multi[[CFdiesel]:[CFdiesel]],0)</f>
        <v>0</v>
      </c>
      <c r="GV6" s="44">
        <f>ROUNDDOWN(tbl_RACRL_Multi[[#This Row],[1.0* Max Energy (MJ)]]*tbl_RACRL_Multi[[Diesel (%)]:[Diesel (%)]]/tbl_RACRL_Multi[[CFdiesel]:[CFdiesel]],0)</f>
        <v>0</v>
      </c>
      <c r="GW6" s="44">
        <f>ROUNDDOWN(tbl_RACRL_Multi[[#This Row],[0.0* Max Energy (MJ)]]*tbl_RACRL_Multi[[Diesel (%)]:[Diesel (%)]]/tbl_RACRL_Multi[[CFdiesel]:[CFdiesel]],0)</f>
        <v>0</v>
      </c>
      <c r="GX6" s="44">
        <f>ROUNDDOWN(tbl_RACRL_Multi[[#This Row],[6.0* Max BF]]*tbl_RACRL_Multi[[Bw]:[Bw]],0)</f>
        <v>648</v>
      </c>
      <c r="GY6" s="44">
        <f>ROUNDDOWN(tbl_RACRL_Multi[[#This Row],[5.5* Max BF]]*tbl_RACRL_Multi[[Bw]:[Bw]],0)</f>
        <v>972</v>
      </c>
      <c r="GZ6" s="44">
        <f>ROUNDDOWN(tbl_RACRL_Multi[[#This Row],[5.0* Max BF]]*tbl_RACRL_Multi[[Bw]:[Bw]],0)</f>
        <v>1296</v>
      </c>
      <c r="HA6" s="44">
        <f>ROUNDDOWN(tbl_RACRL_Multi[[#This Row],[4.5* Max BF]]*tbl_RACRL_Multi[[Bw]:[Bw]],0)</f>
        <v>1619</v>
      </c>
      <c r="HB6" s="44">
        <f>ROUNDDOWN(tbl_RACRL_Multi[[#This Row],[4.0* Max BF]]*tbl_RACRL_Multi[[Bw]:[Bw]],0)</f>
        <v>1943</v>
      </c>
      <c r="HC6" s="44">
        <f>ROUNDDOWN(tbl_RACRL_Multi[[#This Row],[3.5* Max BF]]*tbl_RACRL_Multi[[Bw]:[Bw]],0)</f>
        <v>2267</v>
      </c>
      <c r="HD6" s="44">
        <f>ROUNDDOWN(tbl_RACRL_Multi[[#This Row],[3.0* Max BF]]*tbl_RACRL_Multi[[Bw]:[Bw]],0)</f>
        <v>2591</v>
      </c>
      <c r="HE6" s="44">
        <f>ROUNDDOWN(tbl_RACRL_Multi[[#This Row],[2.5* Max BF]]*tbl_RACRL_Multi[[Bw]:[Bw]],0)</f>
        <v>2915</v>
      </c>
      <c r="HF6" s="44">
        <f>ROUNDDOWN(tbl_RACRL_Multi[[#This Row],[2.0* Max BF]]*tbl_RACRL_Multi[[Bw]:[Bw]],0)</f>
        <v>3239</v>
      </c>
      <c r="HG6" s="44">
        <f>ROUNDDOWN(tbl_RACRL_Multi[[#This Row],[1.5* Max BF]]*tbl_RACRL_Multi[[Bw]:[Bw]],0)</f>
        <v>3563</v>
      </c>
      <c r="HH6" s="44">
        <f>ROUNDDOWN(tbl_RACRL_Multi[[#This Row],[1.0* Max BF]]*tbl_RACRL_Multi[[Bw]:[Bw]],0)</f>
        <v>3886</v>
      </c>
      <c r="HI6" s="44">
        <f>ROUNDDOWN(tbl_RACRL_Multi[[#This Row],[0.0* Max BF]]*tbl_RACRL_Multi[[Bw]:[Bw]],0)</f>
        <v>4534</v>
      </c>
      <c r="HJ6" s="44">
        <f>SUM(tbl_RACRL_Multi[[#This Row],[Electricity]]*(1-tbl_RACRL_Multi[[#This Row],[GP]])*tbl_RACRL_Multi[[#This Row],[SGEe Scopes 1,2&amp;3]],
tbl_RACRL_Multi[[#This Row],[Gas]]*tbl_RACRL_Multi[[#This Row],[SGEg Scopes 1,2&amp;3]],
tbl_RACRL_Multi[[#This Row],[Diesel]]*tbl_RACRL_Multi[[#This Row],[SGEd Scopes 1,2&amp;3]])</f>
        <v>335050.5062</v>
      </c>
      <c r="HK6" s="44">
        <f>SUM(tbl_RACRL_Multi[[#This Row],[Electricity]]*(1-tbl_RACRL_Multi[[#This Row],[GP]])*tbl_RACRL_Multi[[#This Row],[SGEe Scopes 1&amp;2]],
tbl_RACRL_Multi[[#This Row],[Gas]]*tbl_RACRL_Multi[[#This Row],[SGEg Scopes 1&amp;2]],
tbl_RACRL_Multi[[#This Row],[Diesel]]*tbl_RACRL_Multi[[#This Row],[SGEd Scopes 1&amp;2]])</f>
        <v>317831.06971999997</v>
      </c>
      <c r="HL6" s="45">
        <f>IF(tbl_RACRL_Multi[[#This Row],[Energy Star Decimal (with GP)]]&lt;1,0,MIN(ROUNDDOWN(tbl_RACRL_Multi[[#This Row],[Energy Star Decimal (with GP)]]*2,0)/2,6))</f>
        <v>0</v>
      </c>
      <c r="HM6" s="45">
        <f>7.001-tbl_RACRL_Multi[[#This Row],[e-BF (with GP)]]/100*3.5018</f>
        <v>-9.2894649147034798</v>
      </c>
      <c r="HN6" s="45">
        <f>IF(tbl_RACRL_Multi[[#This Row],[Energy Star Decimal (no GP)]]&lt;1,0,MIN(ROUNDDOWN(tbl_RACRL_Multi[[#This Row],[Energy Star Decimal (no GP)]]*2,0)/2,6))</f>
        <v>0</v>
      </c>
      <c r="HO6" s="45">
        <f>7.001-tbl_RACRL_Multi[[#This Row],[e-BF (no GP)]]/100*3.5018</f>
        <v>-9.2894649147034798</v>
      </c>
      <c r="HP6" s="45">
        <f>SUM(tbl_RACRL_Multi[[#This Row],[Electricity]]*(1-tbl_RACRL_Multi[[#This Row],[GP]])*tbl_RACRL_Multi[[#This Row],[SGEe]],
tbl_RACRL_Multi[[#This Row],[Gas]]*tbl_RACRL_Multi[[#This Row],[SGEg]],
tbl_RACRL_Multi[[#This Row],[Diesel]]*tbl_RACRL_Multi[[#This Row],[SGEd]])</f>
        <v>368408.82619999995</v>
      </c>
      <c r="HQ6" s="45">
        <f>SUM(tbl_RACRL_Multi[[#This Row],[Electricity]]*tbl_RACRL_Multi[[#This Row],[SGEe]],
tbl_RACRL_Multi[[#This Row],[Gas]]*tbl_RACRL_Multi[[#This Row],[SGEg]],
tbl_RACRL_Multi[[#This Row],[Diesel]]*tbl_RACRL_Multi[[#This Row],[SGEd]])</f>
        <v>368408.82619999995</v>
      </c>
      <c r="HR6" s="45">
        <f>tbl_RACRL_Multi[[#This Row],[e (with GP)]]/tbl_RACRL_Multi[[#This Row],[Beadj]]*100</f>
        <v>465.20260765045072</v>
      </c>
      <c r="HS6" s="45">
        <f>tbl_RACRL_Multi[[#This Row],[e (no GP)]]/tbl_RACRL_Multi[[#This Row],[Beadj]]*100</f>
        <v>465.20260765045072</v>
      </c>
      <c r="HT6" s="45">
        <f>IF(tbl_RACRL_Multi[[#This Row],[Water Star Decimal (with recyc)]]&lt;1,0,MIN(ROUNDDOWN(tbl_RACRL_Multi[[#This Row],[Water Star Decimal (with recyc)]]*2,0)/2,6))</f>
        <v>0</v>
      </c>
      <c r="HU6" s="46">
        <f>7.001-tbl_RACRL_Multi[[#This Row],[w-BF (with recyc)]]/100*3.5018</f>
        <v>-29.682876053349798</v>
      </c>
      <c r="HV6" s="45">
        <f>IF(tbl_RACRL_Multi[[#This Row],[Water Star Decimal (no recyc)]]&lt;1,0,MIN(ROUNDDOWN(tbl_RACRL_Multi[[#This Row],[Water Star Decimal (no recyc)]]*2,0)/2,6))</f>
        <v>0</v>
      </c>
      <c r="HW6" s="262">
        <f>7.001-tbl_RACRL_Multi[[#This Row],[w-BF (no recyc)]]/100*3.5018</f>
        <v>-29.682876053349798</v>
      </c>
      <c r="HX6" s="36">
        <f>tbl_RACRL_Multi[[#This Row],[Water]]*(1-tbl_RACRL_Multi[[#This Row],[RW]])</f>
        <v>23761</v>
      </c>
      <c r="HY6" s="47">
        <f>tbl_RACRL_Multi[[#This Row],[Water]]</f>
        <v>23761</v>
      </c>
      <c r="HZ6" s="36">
        <f>tbl_RACRL_Multi[[#This Row],[w (with recyc)]]/tbl_RACRL_Multi[[#This Row],[Bw]]*100</f>
        <v>1047.5719930707007</v>
      </c>
      <c r="IA6" s="36">
        <f>tbl_RACRL_Multi[[#This Row],[w (no recyc)]]/tbl_RACRL_Multi[[#This Row],[Bw]]*100</f>
        <v>1047.5719930707007</v>
      </c>
      <c r="IB6" s="36"/>
      <c r="IC6" s="36"/>
    </row>
  </sheetData>
  <sheetProtection selectLockedCells="1"/>
  <phoneticPr fontId="45" type="noConversion"/>
  <dataValidations count="3">
    <dataValidation type="list" allowBlank="1" showInputMessage="1" showErrorMessage="1" sqref="K4:K6 I4:I6 M4:M6" xr:uid="{69D55A83-1AD1-4BDA-95E3-FDEA5D3699FF}">
      <formula1>List_RACRL_Pool_Laundry_Present</formula1>
    </dataValidation>
    <dataValidation type="decimal" allowBlank="1" showInputMessage="1" showErrorMessage="1" sqref="Y65087:Y65088 Y130623:Y130624 Y196159:Y196160 Y261695:Y261696 Y327231:Y327232 Y392767:Y392768 Y458303:Y458304 Y523839:Y523840 Y589375:Y589376 Y654911:Y654912 Y720447:Y720448 Y785983:Y785984 Y851519:Y851520 Y917055:Y917056 Y982591:Y982592" xr:uid="{9ED929DA-682C-473F-A574-3A2F98D6E2FA}">
      <formula1>0</formula1>
      <formula2>6</formula2>
    </dataValidation>
    <dataValidation type="list" allowBlank="1" showInputMessage="1" showErrorMessage="1" sqref="C4:C6" xr:uid="{54A8FCF5-06D3-4E52-BF79-6DD43B7E515E}">
      <formula1>List_RACRL_Rating_Type</formula1>
    </dataValidation>
  </dataValidations>
  <pageMargins left="0.42" right="0.44" top="0.56000000000000005" bottom="0.6" header="0.34" footer="0.4"/>
  <pageSetup paperSize="9" orientation="portrait" blackAndWhite="1" r:id="rId1"/>
  <headerFooter alignWithMargins="0">
    <oddFooter>&amp;R&amp;D</oddFooter>
  </headerFooter>
  <ignoredErrors>
    <ignoredError sqref="AW4 CY4" calculatedColumn="1"/>
    <ignoredError sqref="A4:Q4 AJ4:AP4 Y4:AB4 U4 AG4 S4 AE4" unlockedFormula="1"/>
  </ignoredErrors>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F9A8-1709-445B-BB2D-58E9A5B1F998}">
  <sheetPr codeName="Sheet51">
    <tabColor rgb="FF8AD1F3"/>
  </sheetPr>
  <dimension ref="A1:V86"/>
  <sheetViews>
    <sheetView showGridLines="0" topLeftCell="A12" zoomScale="80" zoomScaleNormal="80" workbookViewId="0">
      <selection activeCell="E12" sqref="E12"/>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4.28515625" style="1" customWidth="1"/>
    <col min="8" max="8" width="2.28515625" style="1" customWidth="1"/>
    <col min="9" max="9" width="20.5703125" style="1" customWidth="1"/>
    <col min="10" max="17" width="9.28515625" style="1"/>
    <col min="18" max="18" width="12.28515625" style="1" customWidth="1"/>
    <col min="19"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18</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19</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20</v>
      </c>
      <c r="C10" s="55"/>
      <c r="D10" s="55"/>
      <c r="E10" s="55"/>
      <c r="F10" s="55"/>
      <c r="G10" s="55"/>
      <c r="H10" s="55"/>
    </row>
    <row r="11" spans="1:10" ht="10.5" customHeight="1">
      <c r="B11" s="57"/>
      <c r="C11" s="55"/>
      <c r="D11" s="55"/>
      <c r="E11" s="55"/>
      <c r="F11" s="55"/>
      <c r="G11" s="55"/>
      <c r="H11" s="55"/>
    </row>
    <row r="12" spans="1:10" ht="30" customHeight="1">
      <c r="B12" s="57"/>
      <c r="C12" s="55"/>
      <c r="D12" s="55"/>
      <c r="E12" s="633" t="s">
        <v>21</v>
      </c>
    </row>
    <row r="13" spans="1:10" ht="18" customHeight="1">
      <c r="B13" s="6"/>
      <c r="C13" s="6"/>
      <c r="D13" s="6"/>
      <c r="E13" s="7"/>
      <c r="F13" s="314"/>
      <c r="G13" s="6"/>
      <c r="H13" s="6"/>
    </row>
    <row r="14" spans="1:10" ht="17.25" customHeight="1">
      <c r="B14" s="56" t="s">
        <v>22</v>
      </c>
      <c r="C14" s="55"/>
      <c r="D14" s="55"/>
      <c r="E14" s="55"/>
      <c r="F14" s="55"/>
      <c r="G14" s="55"/>
      <c r="H14" s="55"/>
    </row>
    <row r="15" spans="1:10" ht="10.5" customHeight="1">
      <c r="B15" s="57"/>
      <c r="C15" s="55"/>
      <c r="D15" s="55"/>
      <c r="E15" s="55"/>
      <c r="F15" s="55"/>
      <c r="G15" s="55"/>
      <c r="H15" s="55"/>
    </row>
    <row r="16" spans="1:10" s="22" customFormat="1" ht="30" customHeight="1">
      <c r="B16" s="24"/>
      <c r="C16" s="23"/>
      <c r="D16" s="23"/>
      <c r="E16" s="74"/>
      <c r="F16" s="51" t="s">
        <v>23</v>
      </c>
      <c r="G16" s="23"/>
      <c r="H16" s="23"/>
      <c r="I16" s="23"/>
      <c r="J16" s="23"/>
    </row>
    <row r="17" spans="1:10" s="22" customFormat="1" ht="17.25" customHeight="1">
      <c r="B17" s="25" t="str">
        <f>IF(MOD(Office_Target_Energy*10,1)/10&lt;=0,"","ERROR: Energy Rating must be in 0.1 star increment")</f>
        <v/>
      </c>
      <c r="C17" s="23"/>
      <c r="D17" s="23"/>
      <c r="E17" s="26"/>
      <c r="F17" s="23"/>
      <c r="G17" s="23"/>
      <c r="H17" s="23"/>
    </row>
    <row r="18" spans="1:10" s="22" customFormat="1" ht="30" customHeight="1">
      <c r="B18" s="24"/>
      <c r="C18" s="24"/>
      <c r="D18" s="24"/>
      <c r="E18" s="74"/>
      <c r="F18" s="51" t="s">
        <v>23</v>
      </c>
      <c r="G18" s="24"/>
      <c r="H18" s="24"/>
    </row>
    <row r="19" spans="1:10" ht="13.5" customHeight="1">
      <c r="B19" s="25" t="str">
        <f>IF(MOD(Office_Target_Water*10,1)/10&lt;=0,"","ERROR: Water Rating must be in 0.1 star increment")</f>
        <v/>
      </c>
      <c r="C19" s="6"/>
      <c r="D19" s="6"/>
      <c r="E19" s="7"/>
      <c r="F19" s="314"/>
      <c r="G19" s="6"/>
      <c r="H19" s="6"/>
    </row>
    <row r="20" spans="1:10" ht="13.5" customHeight="1">
      <c r="B20" s="6"/>
      <c r="C20" s="6"/>
      <c r="D20" s="6"/>
      <c r="E20" s="7"/>
      <c r="F20" s="314"/>
      <c r="G20" s="6"/>
      <c r="H20" s="6"/>
    </row>
    <row r="21" spans="1:10" ht="13.5" customHeight="1">
      <c r="B21" s="6"/>
      <c r="C21" s="6"/>
      <c r="D21" s="6"/>
      <c r="E21" s="7"/>
      <c r="F21" s="314"/>
      <c r="G21" s="6"/>
      <c r="H21" s="6"/>
    </row>
    <row r="22" spans="1:10" ht="13.5" customHeight="1">
      <c r="B22" s="58"/>
      <c r="I22" s="14"/>
    </row>
    <row r="23" spans="1:10" ht="17.25" customHeight="1">
      <c r="B23" s="56" t="s">
        <v>24</v>
      </c>
      <c r="C23" s="55"/>
      <c r="D23" s="55"/>
      <c r="E23" s="55"/>
      <c r="F23" s="55"/>
      <c r="G23" s="55"/>
      <c r="H23" s="55"/>
    </row>
    <row r="24" spans="1:10" ht="10.5" customHeight="1">
      <c r="B24" s="312"/>
      <c r="C24" s="312"/>
      <c r="D24" s="312"/>
      <c r="E24" s="312"/>
      <c r="F24" s="312"/>
      <c r="G24" s="312"/>
      <c r="H24" s="312"/>
      <c r="I24" s="313"/>
      <c r="J24" s="313"/>
    </row>
    <row r="25" spans="1:10" s="8" customFormat="1" ht="20.25" customHeight="1">
      <c r="A25" s="71"/>
      <c r="B25" s="663" t="s">
        <v>25</v>
      </c>
      <c r="C25" s="664"/>
      <c r="D25" s="664"/>
      <c r="E25" s="664"/>
      <c r="F25" s="664"/>
      <c r="G25" s="665"/>
      <c r="I25" s="75"/>
    </row>
    <row r="26" spans="1:10" s="8" customFormat="1" ht="20.25" customHeight="1">
      <c r="A26" s="71"/>
      <c r="B26" s="59" t="s">
        <v>26</v>
      </c>
      <c r="C26" s="324"/>
      <c r="D26" s="324"/>
      <c r="E26" s="324"/>
      <c r="F26" s="324"/>
      <c r="G26" s="348"/>
      <c r="I26" s="173"/>
    </row>
    <row r="27" spans="1:10" s="8" customFormat="1" ht="20.25" customHeight="1">
      <c r="A27" s="71"/>
      <c r="B27" s="59" t="str">
        <f>IF($E$12="Base Building","Hours of servicing (hrs/week)","Hours each week with occupancy levels of 20% or more (hrs/week)")</f>
        <v>Hours each week with occupancy levels of 20% or more (hrs/week)</v>
      </c>
      <c r="C27" s="9"/>
      <c r="D27" s="9"/>
      <c r="E27" s="9"/>
      <c r="F27" s="9"/>
      <c r="G27" s="349"/>
      <c r="H27" s="10"/>
      <c r="I27" s="142"/>
    </row>
    <row r="28" spans="1:10" s="8" customFormat="1" ht="20.25" customHeight="1">
      <c r="A28" s="71"/>
      <c r="B28" s="72" t="str">
        <f>IF($E$12="Base Building","","Number of computers that are normally switched on when the building is occupied")</f>
        <v>Number of computers that are normally switched on when the building is occupied</v>
      </c>
      <c r="C28" s="63"/>
      <c r="D28" s="63"/>
      <c r="E28" s="63"/>
      <c r="F28" s="63"/>
      <c r="G28" s="64"/>
      <c r="H28" s="10"/>
      <c r="I28" s="172"/>
    </row>
    <row r="29" spans="1:10" s="8" customFormat="1" ht="12.75" customHeight="1">
      <c r="A29" s="71"/>
      <c r="B29" s="11"/>
      <c r="C29" s="9"/>
      <c r="D29" s="9"/>
      <c r="E29" s="9"/>
      <c r="F29" s="9"/>
      <c r="G29" s="9"/>
      <c r="H29" s="10"/>
      <c r="I29" s="327"/>
    </row>
    <row r="30" spans="1:10" s="8" customFormat="1" ht="20.25" customHeight="1">
      <c r="A30" s="71"/>
      <c r="B30" s="663" t="s">
        <v>27</v>
      </c>
      <c r="C30" s="666"/>
      <c r="D30" s="666"/>
      <c r="E30" s="666"/>
      <c r="F30" s="666"/>
      <c r="G30" s="667" t="s">
        <v>28</v>
      </c>
      <c r="H30" s="12"/>
      <c r="I30" s="84"/>
    </row>
    <row r="31" spans="1:10" s="8" customFormat="1" ht="20.25" customHeight="1">
      <c r="A31" s="71"/>
      <c r="B31" s="60" t="str">
        <f>IF(SUM(Office_Elec_Percent,Office_Gas_Percent,Office_Diesel_Percent)=1,"","ERROR: Percentage breakdown must total 100%")</f>
        <v>ERROR: Percentage breakdown must total 100%</v>
      </c>
      <c r="C31" s="13"/>
      <c r="D31" s="13"/>
      <c r="E31" s="13"/>
      <c r="F31" s="13"/>
      <c r="G31" s="61" t="s">
        <v>29</v>
      </c>
      <c r="H31" s="17"/>
      <c r="I31" s="84"/>
    </row>
    <row r="32" spans="1:10" s="8" customFormat="1" ht="20.25" customHeight="1">
      <c r="A32" s="71"/>
      <c r="B32" s="62"/>
      <c r="C32" s="63"/>
      <c r="D32" s="63"/>
      <c r="E32" s="63"/>
      <c r="F32" s="63"/>
      <c r="G32" s="64" t="s">
        <v>30</v>
      </c>
      <c r="H32" s="17"/>
      <c r="I32" s="84"/>
    </row>
    <row r="33" spans="2:10" ht="13.9" thickBot="1">
      <c r="B33" s="328"/>
      <c r="C33" s="329"/>
      <c r="D33" s="329"/>
      <c r="E33" s="329"/>
      <c r="F33" s="329"/>
      <c r="G33" s="329"/>
      <c r="H33" s="329"/>
      <c r="I33" s="330"/>
    </row>
    <row r="34" spans="2:10" ht="18.600000000000001" thickTop="1" thickBot="1">
      <c r="B34" s="92" t="s">
        <v>31</v>
      </c>
      <c r="C34" s="87"/>
      <c r="D34" s="87"/>
      <c r="E34" s="87"/>
      <c r="F34" s="87"/>
      <c r="G34" s="87"/>
      <c r="H34" s="87"/>
      <c r="I34" s="91"/>
    </row>
    <row r="35" spans="2:10" ht="13.9" thickTop="1">
      <c r="G35" s="15"/>
      <c r="H35" s="15"/>
      <c r="J35" s="69"/>
    </row>
    <row r="36" spans="2:10" ht="18" customHeight="1">
      <c r="C36" s="16" t="s">
        <v>32</v>
      </c>
      <c r="D36" s="16"/>
      <c r="G36" s="65" t="e">
        <f>INDEX(tbl_Office_Multi[],1,MATCH($J36,tbl_Office_Multi[#Headers],0))</f>
        <v>#N/A</v>
      </c>
      <c r="H36" s="15"/>
      <c r="I36" s="334" t="s">
        <v>33</v>
      </c>
      <c r="J36" s="95" t="s">
        <v>34</v>
      </c>
    </row>
    <row r="37" spans="2:10" ht="18" customHeight="1">
      <c r="C37" s="16"/>
      <c r="D37" s="16"/>
      <c r="G37" s="15"/>
      <c r="H37" s="15"/>
      <c r="J37" s="96"/>
    </row>
    <row r="38" spans="2:10" ht="18" customHeight="1">
      <c r="C38" s="16" t="str">
        <f>CONCATENATE("Maximum Benchmarking Emissions at ",Office_Target_Energy, " Star NABERS Energy")</f>
        <v>Maximum Benchmarking Emissions at  Star NABERS Energy</v>
      </c>
      <c r="G38" s="65">
        <f>INDEX(tbl_Office_Multi[],1,MATCH($J38,tbl_Office_Multi[#Headers],0))</f>
        <v>0</v>
      </c>
      <c r="I38" s="334" t="s">
        <v>33</v>
      </c>
      <c r="J38" s="95" t="s">
        <v>35</v>
      </c>
    </row>
    <row r="39" spans="2:10" ht="18" customHeight="1">
      <c r="J39" s="95"/>
    </row>
    <row r="40" spans="2:10" ht="18" customHeight="1">
      <c r="J40" s="95"/>
    </row>
    <row r="41" spans="2:10" ht="18" customHeight="1">
      <c r="C41" s="29" t="s">
        <v>36</v>
      </c>
      <c r="D41" s="68"/>
      <c r="E41" s="8"/>
      <c r="F41" s="8"/>
      <c r="G41" s="65" t="e">
        <f>INDEX(tbl_Office_Multi[],1,MATCH($J41,tbl_Office_Multi[#Headers],0))</f>
        <v>#DIV/0!</v>
      </c>
      <c r="H41" s="15"/>
      <c r="I41" s="334" t="s">
        <v>33</v>
      </c>
      <c r="J41" s="95" t="s">
        <v>37</v>
      </c>
    </row>
    <row r="42" spans="2:10" ht="18" customHeight="1">
      <c r="C42" s="16"/>
      <c r="G42" s="15"/>
      <c r="H42" s="15"/>
      <c r="J42" s="95"/>
    </row>
    <row r="43" spans="2:10" ht="18" customHeight="1">
      <c r="C43" s="29" t="s">
        <v>38</v>
      </c>
      <c r="D43" s="68"/>
      <c r="E43" s="8"/>
      <c r="F43" s="8"/>
      <c r="G43" s="65" t="e">
        <f>INDEX(tbl_Office_Multi[],1,MATCH($J43,tbl_Office_Multi[#Headers],0))</f>
        <v>#DIV/0!</v>
      </c>
      <c r="H43" s="15"/>
      <c r="I43" s="334" t="s">
        <v>33</v>
      </c>
      <c r="J43" s="95" t="s">
        <v>39</v>
      </c>
    </row>
    <row r="44" spans="2:10" ht="18" customHeight="1">
      <c r="J44" s="95"/>
    </row>
    <row r="45" spans="2:10" ht="18" customHeight="1">
      <c r="J45" s="95"/>
    </row>
    <row r="46" spans="2:10" ht="18" customHeight="1">
      <c r="C46" s="16" t="str">
        <f>CONCATENATE("Benchmarking Emissions Intensity at ",Office_Target_Energy, " Star NABERS Energy")</f>
        <v>Benchmarking Emissions Intensity at  Star NABERS Energy</v>
      </c>
      <c r="G46" s="379">
        <f>INDEX(tbl_Office_Multi[],1,MATCH($J46,tbl_Office_Multi[#Headers],0))</f>
        <v>0</v>
      </c>
      <c r="I46" s="334" t="s">
        <v>40</v>
      </c>
      <c r="J46" s="95" t="s">
        <v>41</v>
      </c>
    </row>
    <row r="47" spans="2:10" ht="18" customHeight="1">
      <c r="G47" s="406"/>
      <c r="J47" s="95"/>
    </row>
    <row r="48" spans="2:10" ht="18" customHeight="1">
      <c r="C48" s="16" t="str">
        <f>CONCATENATE("Energy Intensity at ",Office_Target_Energy, " Star NABERS Energy")</f>
        <v>Energy Intensity at  Star NABERS Energy</v>
      </c>
      <c r="G48" s="379" t="e">
        <f>INDEX(tbl_Office_Multi[],1,MATCH($J48,tbl_Office_Multi[#Headers],0))</f>
        <v>#DIV/0!</v>
      </c>
      <c r="I48" s="334" t="s">
        <v>42</v>
      </c>
      <c r="J48" s="95" t="s">
        <v>43</v>
      </c>
    </row>
    <row r="49" spans="2:22" ht="18" customHeight="1">
      <c r="J49" s="95"/>
    </row>
    <row r="50" spans="2:22" ht="18" customHeight="1">
      <c r="J50" s="95"/>
    </row>
    <row r="51" spans="2:22" ht="18" customHeight="1">
      <c r="C51" s="76" t="s">
        <v>44</v>
      </c>
      <c r="D51" s="312"/>
      <c r="E51" s="8"/>
      <c r="F51" s="8"/>
      <c r="J51" s="96"/>
    </row>
    <row r="52" spans="2:22" ht="16.899999999999999">
      <c r="C52" s="66"/>
      <c r="D52" s="66"/>
      <c r="E52" s="8"/>
      <c r="F52" s="67" t="s">
        <v>45</v>
      </c>
      <c r="G52" s="65" t="e">
        <f>INDEX(tbl_Office_Multi[],1,MATCH($J52,tbl_Office_Multi[#Headers],0))</f>
        <v>#DIV/0!</v>
      </c>
      <c r="H52" s="335"/>
      <c r="I52" s="335" t="s">
        <v>46</v>
      </c>
      <c r="J52" s="95" t="s">
        <v>47</v>
      </c>
    </row>
    <row r="53" spans="2:22" ht="16.899999999999999">
      <c r="C53" s="66"/>
      <c r="D53" s="66"/>
      <c r="E53" s="8"/>
      <c r="F53" s="67" t="s">
        <v>48</v>
      </c>
      <c r="G53" s="65" t="e">
        <f>INDEX(tbl_Office_Multi[],1,MATCH($J53,tbl_Office_Multi[#Headers],0))</f>
        <v>#DIV/0!</v>
      </c>
      <c r="H53" s="335"/>
      <c r="I53" s="335" t="s">
        <v>49</v>
      </c>
      <c r="J53" s="95" t="s">
        <v>50</v>
      </c>
    </row>
    <row r="54" spans="2:22" s="8" customFormat="1" ht="16.899999999999999">
      <c r="C54" s="66"/>
      <c r="D54" s="66"/>
      <c r="E54" s="1"/>
      <c r="F54" s="67" t="s">
        <v>51</v>
      </c>
      <c r="G54" s="65" t="e">
        <f>INDEX(tbl_Office_Multi[],1,MATCH($J54,tbl_Office_Multi[#Headers],0))</f>
        <v>#DIV/0!</v>
      </c>
      <c r="H54" s="335"/>
      <c r="I54" s="335" t="s">
        <v>52</v>
      </c>
      <c r="J54" s="97" t="s">
        <v>53</v>
      </c>
      <c r="O54" s="1"/>
      <c r="P54" s="1"/>
      <c r="Q54" s="1"/>
      <c r="R54" s="1"/>
      <c r="S54" s="1"/>
      <c r="T54" s="1"/>
      <c r="U54" s="1"/>
      <c r="V54" s="1"/>
    </row>
    <row r="55" spans="2:22" s="32" customFormat="1" ht="13.9" thickBot="1">
      <c r="B55" s="93"/>
      <c r="C55" s="90"/>
      <c r="D55" s="90"/>
      <c r="E55" s="90"/>
      <c r="F55" s="90"/>
      <c r="G55" s="90"/>
      <c r="H55" s="90"/>
      <c r="I55" s="90"/>
      <c r="J55" s="95"/>
      <c r="O55" s="1"/>
      <c r="P55" s="1"/>
      <c r="Q55" s="1"/>
      <c r="R55" s="1"/>
      <c r="S55" s="1"/>
      <c r="T55" s="1"/>
      <c r="U55" s="1"/>
      <c r="V55" s="1"/>
    </row>
    <row r="56" spans="2:22" s="32" customFormat="1" ht="13.9" thickTop="1">
      <c r="B56" s="33"/>
      <c r="C56" s="1"/>
      <c r="D56" s="1"/>
      <c r="E56" s="1"/>
      <c r="F56" s="1"/>
      <c r="G56" s="1"/>
      <c r="H56" s="1"/>
      <c r="I56" s="1"/>
      <c r="J56" s="95"/>
      <c r="O56" s="1"/>
      <c r="P56" s="1"/>
      <c r="Q56" s="1"/>
      <c r="R56" s="1"/>
      <c r="S56" s="1"/>
      <c r="T56" s="1"/>
      <c r="U56" s="1"/>
      <c r="V56" s="1"/>
    </row>
    <row r="57" spans="2:22" s="32" customFormat="1" ht="18" customHeight="1">
      <c r="B57" s="33"/>
      <c r="C57" s="29" t="str">
        <f>CONCATENATE("Maximum Water Consumption at ",Office_Target_Water, " Star NABERS Water")</f>
        <v>Maximum Water Consumption at  Star NABERS Water</v>
      </c>
      <c r="D57" s="29"/>
      <c r="E57" s="28"/>
      <c r="F57" s="28"/>
      <c r="G57" s="83" t="e">
        <f>INDEX(tbl_Office_Multi[],1,MATCH($J57,tbl_Office_Multi[#Headers],0))</f>
        <v>#N/A</v>
      </c>
      <c r="H57" s="30"/>
      <c r="I57" s="337" t="s">
        <v>54</v>
      </c>
      <c r="J57" s="97" t="s">
        <v>55</v>
      </c>
      <c r="O57" s="1"/>
      <c r="P57" s="1"/>
      <c r="Q57" s="1"/>
      <c r="R57" s="1"/>
      <c r="S57" s="1"/>
      <c r="T57" s="1"/>
      <c r="U57" s="1"/>
      <c r="V57" s="1"/>
    </row>
    <row r="58" spans="2:22" s="22" customFormat="1" ht="18" customHeight="1">
      <c r="B58" s="28"/>
      <c r="C58" s="83"/>
      <c r="D58" s="83"/>
      <c r="E58" s="83"/>
      <c r="F58" s="83"/>
      <c r="G58" s="34"/>
      <c r="H58" s="32"/>
      <c r="J58" s="97"/>
    </row>
    <row r="59" spans="2:22" s="22" customFormat="1" ht="18" customHeight="1">
      <c r="B59" s="28"/>
      <c r="C59" s="83"/>
      <c r="D59" s="83"/>
      <c r="E59" s="83"/>
      <c r="F59" s="83"/>
      <c r="G59" s="34"/>
      <c r="H59" s="32"/>
      <c r="J59" s="97"/>
    </row>
    <row r="60" spans="2:22" s="22" customFormat="1" ht="18" customHeight="1">
      <c r="B60" s="28"/>
      <c r="C60" s="23" t="str">
        <f>CONCATENATE("Water Intensity at ",Office_Target_Water, " Star NABERS Water")</f>
        <v>Water Intensity at  Star NABERS Water</v>
      </c>
      <c r="D60" s="1"/>
      <c r="E60" s="1"/>
      <c r="F60" s="1"/>
      <c r="G60" s="382" t="e">
        <f>INDEX(tbl_Office_Multi[],1,MATCH($J60,tbl_Office_Multi[#Headers],0))</f>
        <v>#N/A</v>
      </c>
      <c r="H60" s="32"/>
      <c r="I60" s="337" t="s">
        <v>56</v>
      </c>
      <c r="J60" s="95" t="s">
        <v>57</v>
      </c>
    </row>
    <row r="61" spans="2:22" ht="18" customHeight="1">
      <c r="C61" s="83"/>
      <c r="D61" s="83"/>
      <c r="E61" s="83"/>
      <c r="F61" s="83"/>
      <c r="G61" s="34"/>
      <c r="H61" s="22"/>
      <c r="I61" s="22"/>
    </row>
    <row r="62" spans="2:22" ht="18" customHeight="1">
      <c r="C62" s="23"/>
      <c r="G62" s="382"/>
      <c r="H62" s="32"/>
      <c r="I62" s="337"/>
      <c r="J62" s="95"/>
    </row>
    <row r="64" spans="2:22" ht="13.9" thickBot="1"/>
    <row r="65" spans="2:10" ht="18.600000000000001" thickTop="1" thickBot="1">
      <c r="B65" s="92" t="s">
        <v>58</v>
      </c>
      <c r="C65" s="87"/>
      <c r="D65" s="87"/>
      <c r="E65" s="87"/>
      <c r="F65" s="87"/>
      <c r="G65" s="87"/>
      <c r="H65" s="87"/>
      <c r="I65" s="91"/>
    </row>
    <row r="66" spans="2:10" ht="13.9" thickTop="1"/>
    <row r="67" spans="2:10">
      <c r="B67" s="668" t="s">
        <v>59</v>
      </c>
      <c r="C67" s="669"/>
      <c r="D67" s="669"/>
      <c r="E67" s="669"/>
      <c r="F67" s="670" t="s">
        <v>60</v>
      </c>
      <c r="G67" s="356"/>
    </row>
    <row r="68" spans="2:10">
      <c r="B68" s="19"/>
      <c r="C68" s="20"/>
      <c r="D68" s="20"/>
      <c r="E68" s="20"/>
      <c r="F68" s="21" t="s">
        <v>61</v>
      </c>
      <c r="G68" s="356"/>
    </row>
    <row r="69" spans="2:10">
      <c r="B69" s="100"/>
      <c r="C69" s="20"/>
      <c r="D69" s="20"/>
      <c r="E69" s="20"/>
      <c r="F69" s="21" t="s">
        <v>62</v>
      </c>
      <c r="G69" s="356"/>
    </row>
    <row r="70" spans="2:10">
      <c r="B70" s="18"/>
      <c r="C70" s="99"/>
      <c r="D70" s="99"/>
      <c r="E70" s="99"/>
      <c r="F70" s="21" t="s">
        <v>63</v>
      </c>
      <c r="G70" s="357"/>
    </row>
    <row r="71" spans="2:10">
      <c r="B71" s="111" t="s">
        <v>64</v>
      </c>
      <c r="C71" s="103"/>
      <c r="D71" s="103"/>
      <c r="E71" s="103"/>
      <c r="F71" s="104" t="s">
        <v>65</v>
      </c>
      <c r="G71" s="140" t="e">
        <f>INDEX(tbl_Office_Multi[],1,MATCH($J71,tbl_Office_Multi[#Headers],0))</f>
        <v>#N/A</v>
      </c>
      <c r="J71" s="95" t="s">
        <v>66</v>
      </c>
    </row>
    <row r="72" spans="2:10">
      <c r="B72" s="114"/>
      <c r="C72" s="106"/>
      <c r="D72" s="106"/>
      <c r="E72" s="106"/>
      <c r="F72" s="107" t="s">
        <v>67</v>
      </c>
      <c r="G72" s="141" t="e">
        <f>INDEX(tbl_Office_Multi[],1,MATCH($J72,tbl_Office_Multi[#Headers],0))</f>
        <v>#N/A</v>
      </c>
      <c r="J72" s="95" t="s">
        <v>68</v>
      </c>
    </row>
    <row r="73" spans="2:10">
      <c r="B73" s="105"/>
      <c r="C73" s="106"/>
      <c r="D73" s="106"/>
      <c r="E73" s="106"/>
      <c r="F73" s="107" t="s">
        <v>69</v>
      </c>
      <c r="G73" s="141" t="e">
        <f>INDEX(tbl_Office_Multi[],1,MATCH($J73,tbl_Office_Multi[#Headers],0))</f>
        <v>#N/A</v>
      </c>
      <c r="H73" s="17"/>
      <c r="J73" s="95" t="s">
        <v>70</v>
      </c>
    </row>
    <row r="74" spans="2:10">
      <c r="B74" s="114"/>
      <c r="C74" s="106"/>
      <c r="D74" s="106"/>
      <c r="E74" s="106"/>
      <c r="F74" s="107" t="s">
        <v>71</v>
      </c>
      <c r="G74" s="140" t="e">
        <f>INDEX(tbl_Office_Multi[],1,MATCH($J74,tbl_Office_Multi[#Headers],0))</f>
        <v>#N/A</v>
      </c>
      <c r="H74" s="17"/>
      <c r="J74" s="95" t="s">
        <v>72</v>
      </c>
    </row>
    <row r="75" spans="2:10">
      <c r="B75" s="105"/>
      <c r="C75" s="106"/>
      <c r="D75" s="106"/>
      <c r="E75" s="106"/>
      <c r="F75" s="107" t="s">
        <v>73</v>
      </c>
      <c r="G75" s="141" t="e">
        <f>INDEX(tbl_Office_Multi[],1,MATCH($J75,tbl_Office_Multi[#Headers],0))</f>
        <v>#N/A</v>
      </c>
      <c r="H75" s="17"/>
      <c r="J75" s="95" t="s">
        <v>74</v>
      </c>
    </row>
    <row r="76" spans="2:10">
      <c r="B76" s="108"/>
      <c r="C76" s="109"/>
      <c r="D76" s="109"/>
      <c r="E76" s="109"/>
      <c r="F76" s="110" t="s">
        <v>75</v>
      </c>
      <c r="G76" s="141" t="e">
        <f>INDEX(tbl_Office_Multi[],1,MATCH($J76,tbl_Office_Multi[#Headers],0))</f>
        <v>#N/A</v>
      </c>
      <c r="H76" s="17"/>
      <c r="J76" s="95" t="s">
        <v>76</v>
      </c>
    </row>
    <row r="77" spans="2:10">
      <c r="B77" s="13"/>
      <c r="C77" s="13"/>
      <c r="D77" s="13"/>
      <c r="E77" s="65"/>
      <c r="F77" s="65"/>
      <c r="G77" s="65"/>
      <c r="H77" s="17"/>
    </row>
    <row r="79" spans="2:10">
      <c r="B79" s="112" t="s">
        <v>77</v>
      </c>
      <c r="C79" s="113"/>
      <c r="D79" s="113"/>
      <c r="E79" s="113"/>
      <c r="F79" s="102" t="s">
        <v>78</v>
      </c>
      <c r="G79" s="356"/>
    </row>
    <row r="80" spans="2:10">
      <c r="B80" s="115"/>
      <c r="C80" s="99"/>
      <c r="D80" s="99"/>
      <c r="E80" s="99"/>
      <c r="F80" s="101" t="s">
        <v>79</v>
      </c>
      <c r="G80" s="357"/>
      <c r="H80" s="12"/>
    </row>
    <row r="81" spans="2:10">
      <c r="B81" s="128" t="s">
        <v>80</v>
      </c>
      <c r="C81" s="129"/>
      <c r="D81" s="129"/>
      <c r="E81" s="129"/>
      <c r="F81" s="130" t="s">
        <v>81</v>
      </c>
      <c r="G81" s="138" t="e">
        <f>INDEX(tbl_Office_Multi[],1,MATCH($J81,tbl_Office_Multi[#Headers],0))</f>
        <v>#DIV/0!</v>
      </c>
      <c r="I81" s="337" t="s">
        <v>82</v>
      </c>
      <c r="J81" s="95" t="s">
        <v>83</v>
      </c>
    </row>
    <row r="82" spans="2:10">
      <c r="B82" s="131"/>
      <c r="C82" s="132"/>
      <c r="D82" s="132"/>
      <c r="E82" s="132"/>
      <c r="F82" s="133" t="s">
        <v>84</v>
      </c>
      <c r="G82" s="139" t="e">
        <f>INDEX(tbl_Office_Multi[],1,MATCH($J82,tbl_Office_Multi[#Headers],0))</f>
        <v>#DIV/0!</v>
      </c>
      <c r="J82" s="95" t="s">
        <v>85</v>
      </c>
    </row>
    <row r="83" spans="2:10">
      <c r="B83" s="131"/>
      <c r="C83" s="132"/>
      <c r="D83" s="132"/>
      <c r="E83" s="132"/>
      <c r="F83" s="133" t="s">
        <v>86</v>
      </c>
      <c r="G83" s="139" t="e">
        <f>INDEX(tbl_Office_Multi[],1,MATCH($J83,tbl_Office_Multi[#Headers],0))</f>
        <v>#DIV/0!</v>
      </c>
      <c r="J83" s="95" t="s">
        <v>87</v>
      </c>
    </row>
    <row r="84" spans="2:10">
      <c r="B84" s="131"/>
      <c r="C84" s="132"/>
      <c r="D84" s="132"/>
      <c r="E84" s="132"/>
      <c r="F84" s="133" t="s">
        <v>88</v>
      </c>
      <c r="G84" s="138" t="e">
        <f>INDEX(tbl_Office_Multi[],1,MATCH($J84,tbl_Office_Multi[#Headers],0))</f>
        <v>#DIV/0!</v>
      </c>
      <c r="I84" s="337" t="s">
        <v>82</v>
      </c>
      <c r="J84" s="95" t="s">
        <v>89</v>
      </c>
    </row>
    <row r="85" spans="2:10">
      <c r="B85" s="134"/>
      <c r="C85" s="132"/>
      <c r="D85" s="132"/>
      <c r="E85" s="132"/>
      <c r="F85" s="133" t="s">
        <v>90</v>
      </c>
      <c r="G85" s="139" t="e">
        <f>INDEX(tbl_Office_Multi[],1,MATCH($J85,tbl_Office_Multi[#Headers],0))</f>
        <v>#DIV/0!</v>
      </c>
      <c r="J85" s="95" t="s">
        <v>91</v>
      </c>
    </row>
    <row r="86" spans="2:10">
      <c r="B86" s="135"/>
      <c r="C86" s="136"/>
      <c r="D86" s="136"/>
      <c r="E86" s="136"/>
      <c r="F86" s="137" t="s">
        <v>92</v>
      </c>
      <c r="G86" s="139" t="e">
        <f>INDEX(tbl_Office_Multi[],1,MATCH($J86,tbl_Office_Multi[#Headers],0))</f>
        <v>#DIV/0!</v>
      </c>
      <c r="J86" s="95" t="s">
        <v>93</v>
      </c>
    </row>
  </sheetData>
  <sheetProtection algorithmName="SHA-512" hashValue="90dZrgQE8T3rz0Q2w0VFuRKZ2jQOD2SF3FUuctxXwRHF/db18YkF07x2/tGuGQYXfOS5AZm/0NC8a8KCZloMiQ==" saltValue="WxQq0k0a00mPS9x/LX1amw==" spinCount="100000" sheet="1" objects="1" scenarios="1"/>
  <dataConsolidate/>
  <mergeCells count="3">
    <mergeCell ref="B4:I4"/>
    <mergeCell ref="G3:I3"/>
    <mergeCell ref="B7:I7"/>
  </mergeCells>
  <conditionalFormatting sqref="G67:G70">
    <cfRule type="expression" dxfId="2211" priority="8" stopIfTrue="1">
      <formula>($B$23="ERROR: Percentage breakdown must total 100%")</formula>
    </cfRule>
  </conditionalFormatting>
  <conditionalFormatting sqref="G79:G80">
    <cfRule type="expression" dxfId="2210" priority="5" stopIfTrue="1">
      <formula>($B$23="ERROR: Percentage breakdown must total 100%")</formula>
    </cfRule>
  </conditionalFormatting>
  <conditionalFormatting sqref="I25:I28">
    <cfRule type="expression" dxfId="2209" priority="1">
      <formula>$B25=""</formula>
    </cfRule>
  </conditionalFormatting>
  <conditionalFormatting sqref="I30:I32">
    <cfRule type="expression" dxfId="2208" priority="2">
      <formula>NOT(SUM($I$30:$I$32)=1)</formula>
    </cfRule>
  </conditionalFormatting>
  <dataValidations count="2">
    <dataValidation type="list" allowBlank="1" showInputMessage="1" showErrorMessage="1" sqref="E12" xr:uid="{445E1149-85DA-4904-879E-E648E3D73EB7}">
      <formula1>List_Office_Rating_Type</formula1>
    </dataValidation>
    <dataValidation type="decimal" allowBlank="1" showInputMessage="1" showErrorMessage="1" sqref="I22 E16:E21 WFO16:WFO18 VVS16:VVS18 VLW16:VLW18 VCA16:VCA18 USE16:USE18 UII16:UII18 TYM16:TYM18 TOQ16:TOQ18 TEU16:TEU18 SUY16:SUY18 SLC16:SLC18 SBG16:SBG18 RRK16:RRK18 RHO16:RHO18 QXS16:QXS18 QNW16:QNW18 QEA16:QEA18 PUE16:PUE18 PKI16:PKI18 PAM16:PAM18 OQQ16:OQQ18 OGU16:OGU18 NWY16:NWY18 NNC16:NNC18 NDG16:NDG18 MTK16:MTK18 MJO16:MJO18 LZS16:LZS18 LPW16:LPW18 LGA16:LGA18 KWE16:KWE18 KMI16:KMI18 KCM16:KCM18 JSQ16:JSQ18 JIU16:JIU18 IYY16:IYY18 IPC16:IPC18 IFG16:IFG18 HVK16:HVK18 HLO16:HLO18 HBS16:HBS18 GRW16:GRW18 GIA16:GIA18 FYE16:FYE18 FOI16:FOI18 FEM16:FEM18 EUQ16:EUQ18 EKU16:EKU18 EAY16:EAY18 DRC16:DRC18 DHG16:DHG18 CXK16:CXK18 CNO16:CNO18 CDS16:CDS18 BTW16:BTW18 BKA16:BKA18 BAE16:BAE18 AQI16:AQI18 AGM16:AGM18 WQ16:WQ18 MU16:MU18 CY16:CY18 WPK16:WPK18 E13" xr:uid="{7DB42F5B-2DFE-4183-8B7C-80CFC8957DC7}">
      <formula1>0</formula1>
      <formula2>6</formula2>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797A-3F33-40E7-B6D4-069DF7C195DA}">
  <sheetPr codeName="Sheet13">
    <tabColor rgb="FF8AD1F3"/>
  </sheetPr>
  <dimension ref="A1:V70"/>
  <sheetViews>
    <sheetView showGridLines="0" zoomScale="80" zoomScaleNormal="80" workbookViewId="0">
      <selection activeCell="N14" sqref="N14"/>
    </sheetView>
  </sheetViews>
  <sheetFormatPr defaultColWidth="9.28515625" defaultRowHeight="13.15"/>
  <cols>
    <col min="1" max="1" width="3.28515625" style="1" customWidth="1"/>
    <col min="2" max="2" width="19.5703125" style="1" customWidth="1"/>
    <col min="3" max="3" width="14.5703125" style="1" customWidth="1"/>
    <col min="4" max="4" width="5.5703125" style="1" customWidth="1"/>
    <col min="5" max="5" width="39.5703125" style="1" customWidth="1"/>
    <col min="6" max="6" width="16.28515625" style="1" customWidth="1"/>
    <col min="7" max="7" width="14.28515625" style="1" customWidth="1"/>
    <col min="8" max="8" width="2.28515625" style="1" customWidth="1"/>
    <col min="9" max="9" width="20.5703125" style="1" customWidth="1"/>
    <col min="10" max="17" width="9.28515625" style="1"/>
    <col min="18" max="18" width="12.28515625" style="1" customWidth="1"/>
    <col min="19"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1512</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1513</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1514</v>
      </c>
      <c r="C10" s="55"/>
      <c r="D10" s="55"/>
      <c r="E10" s="55"/>
      <c r="F10" s="55"/>
      <c r="G10" s="55"/>
      <c r="H10" s="55"/>
    </row>
    <row r="11" spans="1:10" ht="10.5" customHeight="1">
      <c r="B11" s="57"/>
      <c r="C11" s="55"/>
      <c r="D11" s="55"/>
      <c r="E11" s="55"/>
      <c r="F11" s="55"/>
      <c r="G11" s="55"/>
      <c r="H11" s="55"/>
    </row>
    <row r="12" spans="1:10" s="22" customFormat="1" ht="30" customHeight="1">
      <c r="B12" s="24"/>
      <c r="C12" s="23"/>
      <c r="D12" s="23"/>
      <c r="E12" s="74"/>
      <c r="F12" s="51" t="s">
        <v>23</v>
      </c>
      <c r="G12" s="23"/>
      <c r="H12" s="23"/>
      <c r="I12" s="23"/>
      <c r="J12" s="23"/>
    </row>
    <row r="13" spans="1:10" s="22" customFormat="1" ht="17.25" customHeight="1">
      <c r="B13" s="25" t="str">
        <f>IF(MOD(Warehouse_Target_Energy*10,1)/10&lt;=0,"","ERROR: Energy Rating must be in 0.1 star increment")</f>
        <v/>
      </c>
      <c r="C13" s="23"/>
      <c r="D13" s="23"/>
      <c r="E13" s="26"/>
      <c r="F13" s="23"/>
      <c r="G13" s="23"/>
      <c r="H13" s="23"/>
    </row>
    <row r="14" spans="1:10" ht="13.5" customHeight="1">
      <c r="B14" s="6"/>
      <c r="C14" s="6"/>
      <c r="D14" s="6"/>
      <c r="E14" s="7"/>
      <c r="F14" s="314"/>
      <c r="G14" s="6"/>
      <c r="H14" s="6"/>
    </row>
    <row r="15" spans="1:10" ht="13.5" customHeight="1">
      <c r="B15" s="58"/>
      <c r="I15" s="14"/>
    </row>
    <row r="16" spans="1:10" ht="17.25" customHeight="1">
      <c r="B16" s="56" t="s">
        <v>1515</v>
      </c>
      <c r="C16" s="55"/>
      <c r="D16" s="55"/>
      <c r="E16" s="55"/>
      <c r="F16" s="55"/>
      <c r="G16" s="55"/>
      <c r="H16" s="55"/>
    </row>
    <row r="17" spans="1:10" ht="10.5" customHeight="1">
      <c r="B17" s="312"/>
      <c r="C17" s="312"/>
      <c r="D17" s="312"/>
      <c r="E17" s="312"/>
      <c r="F17" s="312"/>
      <c r="G17" s="312"/>
      <c r="H17" s="312"/>
      <c r="I17" s="313"/>
      <c r="J17" s="313"/>
    </row>
    <row r="18" spans="1:10" s="8" customFormat="1" ht="20.25" customHeight="1">
      <c r="A18" s="71"/>
      <c r="B18" s="663" t="s">
        <v>25</v>
      </c>
      <c r="C18" s="664"/>
      <c r="D18" s="664"/>
      <c r="E18" s="664"/>
      <c r="F18" s="664"/>
      <c r="G18" s="665"/>
      <c r="I18" s="75"/>
    </row>
    <row r="19" spans="1:10" s="8" customFormat="1" ht="20.25" customHeight="1">
      <c r="A19" s="71"/>
      <c r="B19" s="59" t="s">
        <v>1516</v>
      </c>
      <c r="C19" s="324"/>
      <c r="D19" s="324"/>
      <c r="E19" s="324"/>
      <c r="F19" s="324"/>
      <c r="G19" s="348"/>
      <c r="I19" s="603"/>
    </row>
    <row r="20" spans="1:10" s="8" customFormat="1" ht="20.25" customHeight="1">
      <c r="A20" s="71"/>
      <c r="B20" s="59" t="s">
        <v>1517</v>
      </c>
      <c r="C20" s="324"/>
      <c r="D20" s="324"/>
      <c r="E20" s="324"/>
      <c r="F20" s="324"/>
      <c r="G20" s="348"/>
      <c r="I20" s="603"/>
    </row>
    <row r="21" spans="1:10" s="8" customFormat="1" ht="20.25" customHeight="1">
      <c r="A21" s="71"/>
      <c r="B21" s="59" t="s">
        <v>1518</v>
      </c>
      <c r="C21" s="324"/>
      <c r="D21" s="324"/>
      <c r="E21" s="324"/>
      <c r="F21" s="324"/>
      <c r="G21" s="348"/>
      <c r="I21" s="173"/>
    </row>
    <row r="22" spans="1:10" s="8" customFormat="1" ht="20.25" customHeight="1">
      <c r="A22" s="71"/>
      <c r="B22" s="59" t="s">
        <v>1519</v>
      </c>
      <c r="C22" s="324"/>
      <c r="D22" s="324"/>
      <c r="E22" s="324"/>
      <c r="F22" s="324"/>
      <c r="G22" s="348"/>
      <c r="I22" s="173"/>
    </row>
    <row r="23" spans="1:10" s="8" customFormat="1" ht="20.25" customHeight="1">
      <c r="A23" s="71"/>
      <c r="B23" s="59" t="s">
        <v>1520</v>
      </c>
      <c r="C23" s="324"/>
      <c r="D23" s="324"/>
      <c r="E23" s="324"/>
      <c r="F23" s="324"/>
      <c r="G23" s="348"/>
      <c r="I23" s="173"/>
    </row>
    <row r="24" spans="1:10" s="8" customFormat="1" ht="20.25" customHeight="1">
      <c r="A24" s="71"/>
      <c r="B24" s="59" t="str">
        <f>IF(Warehouse_Cold_Store="No","","Total Cool Room (0°C to 15°C) Volume (m³)")</f>
        <v>Total Cool Room (0°C to 15°C) Volume (m³)</v>
      </c>
      <c r="C24" s="324"/>
      <c r="D24" s="324"/>
      <c r="E24" s="324"/>
      <c r="F24" s="324"/>
      <c r="G24" s="348"/>
      <c r="I24" s="173"/>
    </row>
    <row r="25" spans="1:10" s="8" customFormat="1" ht="20.25" customHeight="1">
      <c r="A25" s="71"/>
      <c r="B25" s="59" t="str">
        <f>IF(Warehouse_Cold_Store="No","","Total Cold Room (-20°C to 0°C) Volume (m³)")</f>
        <v>Total Cold Room (-20°C to 0°C) Volume (m³)</v>
      </c>
      <c r="C25" s="324"/>
      <c r="D25" s="324"/>
      <c r="E25" s="324"/>
      <c r="F25" s="324"/>
      <c r="G25" s="348"/>
      <c r="I25" s="173"/>
    </row>
    <row r="26" spans="1:10" s="8" customFormat="1" ht="20.25" customHeight="1">
      <c r="A26" s="71"/>
      <c r="B26" s="59" t="s">
        <v>1521</v>
      </c>
      <c r="C26" s="324"/>
      <c r="D26" s="324"/>
      <c r="E26" s="324"/>
      <c r="F26" s="324"/>
      <c r="G26" s="348"/>
      <c r="I26" s="142"/>
    </row>
    <row r="27" spans="1:10" s="8" customFormat="1" ht="20.25" customHeight="1">
      <c r="A27" s="71"/>
      <c r="B27" s="59" t="str">
        <f>IF(Warehouse_Operational_Data="ATR","","Number of Full Time Employees (FTE) workers per Annum")</f>
        <v>Number of Full Time Employees (FTE) workers per Annum</v>
      </c>
      <c r="C27" s="9"/>
      <c r="D27" s="9"/>
      <c r="E27" s="9"/>
      <c r="F27" s="9"/>
      <c r="G27" s="349"/>
      <c r="H27" s="10"/>
      <c r="I27" s="142"/>
    </row>
    <row r="28" spans="1:10" s="8" customFormat="1" ht="20.25" customHeight="1">
      <c r="A28" s="71"/>
      <c r="B28" s="72" t="str">
        <f>IF(Warehouse_Operational_Data="FTE","","Annual Turnover Ratio (ATR)")</f>
        <v>Annual Turnover Ratio (ATR)</v>
      </c>
      <c r="C28" s="63"/>
      <c r="D28" s="63"/>
      <c r="E28" s="63"/>
      <c r="F28" s="63"/>
      <c r="G28" s="64"/>
      <c r="H28" s="10"/>
      <c r="I28" s="173"/>
    </row>
    <row r="29" spans="1:10" s="8" customFormat="1" ht="12.75" customHeight="1">
      <c r="A29" s="71"/>
      <c r="B29" s="11"/>
      <c r="C29" s="9"/>
      <c r="D29" s="9"/>
      <c r="E29" s="9"/>
      <c r="F29" s="9"/>
      <c r="G29" s="9"/>
      <c r="H29" s="10"/>
      <c r="I29" s="327"/>
    </row>
    <row r="30" spans="1:10" s="8" customFormat="1" ht="20.25" customHeight="1">
      <c r="A30" s="71"/>
      <c r="B30" s="663" t="s">
        <v>27</v>
      </c>
      <c r="C30" s="666"/>
      <c r="D30" s="666"/>
      <c r="E30" s="666"/>
      <c r="F30" s="666"/>
      <c r="G30" s="667" t="s">
        <v>28</v>
      </c>
      <c r="H30" s="12"/>
      <c r="I30" s="84"/>
    </row>
    <row r="31" spans="1:10" s="8" customFormat="1" ht="20.25" customHeight="1">
      <c r="A31" s="71"/>
      <c r="B31" s="60" t="str">
        <f>IF(SUM(Warehouse_Elec_Percent,Warehouse_Gas_Percent,Warehouse_LPG_Percent,Warehouse_Diesel_Percent)=1,"","ERROR: Percentage breakdown must total 100%")</f>
        <v>ERROR: Percentage breakdown must total 100%</v>
      </c>
      <c r="C31" s="13"/>
      <c r="D31" s="13"/>
      <c r="E31" s="13"/>
      <c r="F31" s="13"/>
      <c r="G31" s="61" t="s">
        <v>29</v>
      </c>
      <c r="H31" s="17"/>
      <c r="I31" s="84"/>
    </row>
    <row r="32" spans="1:10" s="8" customFormat="1" ht="20.25" customHeight="1">
      <c r="A32" s="71"/>
      <c r="B32" s="60"/>
      <c r="C32" s="13"/>
      <c r="D32" s="13"/>
      <c r="E32" s="13"/>
      <c r="F32" s="13"/>
      <c r="G32" s="61" t="s">
        <v>1289</v>
      </c>
      <c r="H32" s="17"/>
      <c r="I32" s="84"/>
    </row>
    <row r="33" spans="1:10" s="8" customFormat="1" ht="20.25" customHeight="1">
      <c r="A33" s="71"/>
      <c r="B33" s="62"/>
      <c r="C33" s="63"/>
      <c r="D33" s="63"/>
      <c r="E33" s="63"/>
      <c r="F33" s="63"/>
      <c r="G33" s="64" t="s">
        <v>30</v>
      </c>
      <c r="H33" s="17"/>
      <c r="I33" s="84"/>
    </row>
    <row r="34" spans="1:10" ht="13.9" thickBot="1">
      <c r="B34" s="328"/>
      <c r="C34" s="329"/>
      <c r="D34" s="329"/>
      <c r="E34" s="329"/>
      <c r="F34" s="329"/>
      <c r="G34" s="329"/>
      <c r="H34" s="329"/>
      <c r="I34" s="330"/>
    </row>
    <row r="35" spans="1:10" ht="18.600000000000001" thickTop="1" thickBot="1">
      <c r="B35" s="92" t="s">
        <v>852</v>
      </c>
      <c r="C35" s="87"/>
      <c r="D35" s="87"/>
      <c r="E35" s="87"/>
      <c r="F35" s="87"/>
      <c r="G35" s="87"/>
      <c r="H35" s="87"/>
      <c r="I35" s="91"/>
    </row>
    <row r="36" spans="1:10" ht="13.9" thickTop="1">
      <c r="G36" s="15"/>
      <c r="H36" s="15"/>
      <c r="J36" s="69"/>
    </row>
    <row r="37" spans="1:10" ht="18" customHeight="1">
      <c r="C37" s="16" t="s">
        <v>1522</v>
      </c>
      <c r="D37" s="16"/>
      <c r="G37" s="65"/>
      <c r="H37" s="15"/>
      <c r="I37" s="334" t="s">
        <v>33</v>
      </c>
      <c r="J37" s="725" t="s">
        <v>320</v>
      </c>
    </row>
    <row r="38" spans="1:10" ht="18" customHeight="1">
      <c r="C38" s="16"/>
      <c r="D38" s="16"/>
      <c r="G38" s="15"/>
      <c r="H38" s="15"/>
      <c r="J38" s="767"/>
    </row>
    <row r="39" spans="1:10" ht="18" customHeight="1">
      <c r="C39" s="16" t="str">
        <f>CONCATENATE("Maximum Benchmarking Emissions at ",Warehouse_Target_Energy, " Star NABERS Energy")</f>
        <v>Maximum Benchmarking Emissions at  Star NABERS Energy</v>
      </c>
      <c r="G39" s="65"/>
      <c r="I39" s="334" t="s">
        <v>33</v>
      </c>
      <c r="J39" s="725" t="s">
        <v>35</v>
      </c>
    </row>
    <row r="40" spans="1:10" ht="18" customHeight="1">
      <c r="J40" s="725"/>
    </row>
    <row r="41" spans="1:10" ht="18" customHeight="1">
      <c r="J41" s="725"/>
    </row>
    <row r="42" spans="1:10" ht="18" customHeight="1">
      <c r="C42" s="29" t="s">
        <v>1523</v>
      </c>
      <c r="D42" s="68"/>
      <c r="E42" s="8"/>
      <c r="F42" s="8"/>
      <c r="G42" s="65"/>
      <c r="H42" s="15"/>
      <c r="I42" s="334" t="s">
        <v>33</v>
      </c>
      <c r="J42" s="725" t="s">
        <v>855</v>
      </c>
    </row>
    <row r="43" spans="1:10" ht="18" customHeight="1">
      <c r="C43" s="16"/>
      <c r="G43" s="15"/>
      <c r="H43" s="15"/>
      <c r="J43" s="725"/>
    </row>
    <row r="44" spans="1:10" ht="18" customHeight="1">
      <c r="C44" s="29" t="s">
        <v>1524</v>
      </c>
      <c r="D44" s="68"/>
      <c r="E44" s="8"/>
      <c r="F44" s="8"/>
      <c r="G44" s="65"/>
      <c r="H44" s="15"/>
      <c r="I44" s="334" t="s">
        <v>33</v>
      </c>
      <c r="J44" s="725" t="s">
        <v>857</v>
      </c>
    </row>
    <row r="45" spans="1:10" ht="18" customHeight="1">
      <c r="J45" s="725"/>
    </row>
    <row r="46" spans="1:10" ht="18" customHeight="1">
      <c r="J46" s="725"/>
    </row>
    <row r="47" spans="1:10" ht="18" customHeight="1">
      <c r="C47" s="16" t="str">
        <f>CONCATENATE("Energy Intensity at ",Warehouse_Target_Energy, " Star NABERS Energy")</f>
        <v>Energy Intensity at  Star NABERS Energy</v>
      </c>
      <c r="G47" s="379"/>
      <c r="I47" s="334" t="s">
        <v>42</v>
      </c>
      <c r="J47" s="725" t="s">
        <v>43</v>
      </c>
    </row>
    <row r="48" spans="1:10" ht="18" customHeight="1">
      <c r="J48" s="725"/>
    </row>
    <row r="49" spans="2:22" ht="18" customHeight="1">
      <c r="J49" s="725"/>
    </row>
    <row r="50" spans="2:22" ht="18" customHeight="1">
      <c r="C50" s="76" t="s">
        <v>44</v>
      </c>
      <c r="D50" s="312"/>
      <c r="E50" s="8"/>
      <c r="F50" s="8"/>
      <c r="J50" s="767"/>
    </row>
    <row r="51" spans="2:22" ht="16.899999999999999">
      <c r="C51" s="66"/>
      <c r="D51" s="66"/>
      <c r="E51" s="8"/>
      <c r="F51" s="67" t="s">
        <v>45</v>
      </c>
      <c r="G51" s="65"/>
      <c r="H51" s="335"/>
      <c r="I51" s="335" t="s">
        <v>46</v>
      </c>
      <c r="J51" s="725" t="s">
        <v>47</v>
      </c>
    </row>
    <row r="52" spans="2:22" ht="16.899999999999999">
      <c r="C52" s="66"/>
      <c r="D52" s="66"/>
      <c r="E52" s="8"/>
      <c r="F52" s="67" t="s">
        <v>48</v>
      </c>
      <c r="G52" s="65" t="e">
        <f>INDEX(tbl_WaCS_Multi[],1,MATCH($J52,tbl_WaCS_Multi[#Headers],0))</f>
        <v>#DIV/0!</v>
      </c>
      <c r="H52" s="335"/>
      <c r="I52" s="335" t="s">
        <v>49</v>
      </c>
      <c r="J52" s="725" t="s">
        <v>50</v>
      </c>
    </row>
    <row r="53" spans="2:22" ht="16.899999999999999">
      <c r="C53" s="66"/>
      <c r="D53" s="66"/>
      <c r="E53" s="8"/>
      <c r="F53" s="67" t="s">
        <v>1296</v>
      </c>
      <c r="G53" s="65" t="e">
        <f>INDEX(tbl_WaCS_Multi[],1,MATCH($J53,tbl_WaCS_Multi[#Headers],0))</f>
        <v>#DIV/0!</v>
      </c>
      <c r="H53" s="335"/>
      <c r="I53" s="335" t="s">
        <v>52</v>
      </c>
      <c r="J53" s="768" t="s">
        <v>864</v>
      </c>
    </row>
    <row r="54" spans="2:22" s="8" customFormat="1" ht="16.899999999999999">
      <c r="C54" s="66"/>
      <c r="D54" s="66"/>
      <c r="E54" s="1"/>
      <c r="F54" s="67" t="s">
        <v>51</v>
      </c>
      <c r="G54" s="65" t="e">
        <f>INDEX(tbl_WaCS_Multi[],1,MATCH($J54,tbl_WaCS_Multi[#Headers],0))</f>
        <v>#DIV/0!</v>
      </c>
      <c r="H54" s="335"/>
      <c r="I54" s="335" t="s">
        <v>52</v>
      </c>
      <c r="J54" s="768" t="s">
        <v>53</v>
      </c>
      <c r="O54" s="1"/>
      <c r="P54" s="1"/>
      <c r="Q54" s="1"/>
      <c r="R54" s="1"/>
      <c r="S54" s="1"/>
      <c r="T54" s="1"/>
      <c r="U54" s="1"/>
      <c r="V54" s="1"/>
    </row>
    <row r="55" spans="2:22" ht="13.9" thickBot="1"/>
    <row r="56" spans="2:22" ht="18.600000000000001" thickTop="1" thickBot="1">
      <c r="B56" s="92" t="s">
        <v>58</v>
      </c>
      <c r="C56" s="87"/>
      <c r="D56" s="87"/>
      <c r="E56" s="87"/>
      <c r="F56" s="87"/>
      <c r="G56" s="87"/>
      <c r="H56" s="87"/>
      <c r="I56" s="91"/>
    </row>
    <row r="57" spans="2:22" ht="13.9" thickTop="1"/>
    <row r="58" spans="2:22" ht="20.25" customHeight="1">
      <c r="B58" s="663" t="s">
        <v>59</v>
      </c>
      <c r="C58" s="666"/>
      <c r="D58" s="666"/>
      <c r="E58" s="666"/>
      <c r="F58" s="666"/>
      <c r="G58" s="667" t="s">
        <v>60</v>
      </c>
      <c r="I58" s="356"/>
    </row>
    <row r="59" spans="2:22" ht="20.25" customHeight="1">
      <c r="B59" s="60"/>
      <c r="C59" s="13"/>
      <c r="D59" s="13"/>
      <c r="E59" s="13"/>
      <c r="F59" s="13"/>
      <c r="G59" s="61" t="s">
        <v>894</v>
      </c>
      <c r="I59" s="356"/>
    </row>
    <row r="60" spans="2:22" ht="20.25" customHeight="1">
      <c r="B60" s="60"/>
      <c r="C60" s="13"/>
      <c r="D60" s="13"/>
      <c r="E60" s="13"/>
      <c r="F60" s="13"/>
      <c r="G60" s="61" t="s">
        <v>869</v>
      </c>
      <c r="I60" s="356"/>
    </row>
    <row r="61" spans="2:22" ht="20.25" customHeight="1">
      <c r="B61" s="62"/>
      <c r="C61" s="63"/>
      <c r="D61" s="63"/>
      <c r="E61" s="63"/>
      <c r="F61" s="63"/>
      <c r="G61" s="64" t="s">
        <v>62</v>
      </c>
      <c r="I61" s="356"/>
    </row>
    <row r="62" spans="2:22" customFormat="1" ht="12.6"/>
    <row r="63" spans="2:22" s="601" customFormat="1" ht="20.25" customHeight="1">
      <c r="B63" s="602" t="s">
        <v>1525</v>
      </c>
      <c r="C63" s="13"/>
      <c r="D63" s="13"/>
      <c r="E63" s="13"/>
      <c r="F63" s="13"/>
      <c r="G63" s="13"/>
      <c r="H63" s="13"/>
      <c r="I63" s="13"/>
    </row>
    <row r="64" spans="2:22" s="594" customFormat="1" ht="19.5" customHeight="1">
      <c r="B64" s="600"/>
      <c r="C64" s="599"/>
      <c r="D64" s="599"/>
      <c r="E64" s="599"/>
      <c r="F64" s="599"/>
      <c r="G64" s="599"/>
      <c r="H64" s="14"/>
      <c r="I64" s="1"/>
    </row>
    <row r="65" spans="2:10" ht="17.45">
      <c r="B65" s="598" t="s">
        <v>31</v>
      </c>
      <c r="C65" s="597"/>
      <c r="D65" s="597"/>
      <c r="E65" s="597"/>
      <c r="F65" s="597"/>
      <c r="G65" s="597"/>
      <c r="H65" s="3"/>
      <c r="I65" s="3"/>
    </row>
    <row r="66" spans="2:10" ht="15.6">
      <c r="B66" s="596"/>
      <c r="C66" s="596"/>
      <c r="D66" s="596"/>
      <c r="E66" s="596"/>
      <c r="F66" s="596"/>
      <c r="G66" s="596"/>
      <c r="H66" s="595"/>
      <c r="I66" s="595"/>
    </row>
    <row r="67" spans="2:10" ht="13.9" thickBot="1">
      <c r="E67" s="594"/>
      <c r="F67" s="594"/>
      <c r="G67" s="15"/>
    </row>
    <row r="68" spans="2:10" ht="17.45">
      <c r="B68" s="593"/>
      <c r="C68" s="592"/>
      <c r="D68" s="592"/>
      <c r="E68" s="858"/>
      <c r="F68" s="859"/>
      <c r="G68" s="591"/>
      <c r="H68" s="591"/>
      <c r="I68" s="590"/>
    </row>
    <row r="69" spans="2:10" ht="36" customHeight="1">
      <c r="B69" s="589" t="s">
        <v>1526</v>
      </c>
      <c r="C69" s="587" t="s">
        <v>1527</v>
      </c>
      <c r="D69" s="588"/>
      <c r="E69" s="860" t="str">
        <f>IFERROR(INDEX(tbl_WaCS_Multi[],1,MATCH($J69,tbl_WaCS_Multi[#Headers],0)),"NA")</f>
        <v>NA</v>
      </c>
      <c r="F69" s="861"/>
      <c r="G69" s="587" t="s">
        <v>23</v>
      </c>
      <c r="H69" s="586"/>
      <c r="I69" s="585"/>
      <c r="J69" s="95" t="s">
        <v>1528</v>
      </c>
    </row>
    <row r="70" spans="2:10" ht="18" thickBot="1">
      <c r="B70" s="584"/>
      <c r="C70" s="583"/>
      <c r="D70" s="582"/>
      <c r="E70" s="856" t="str">
        <f>IF($E$69="NA", "ERROR: Please provide inputs","")</f>
        <v>ERROR: Please provide inputs</v>
      </c>
      <c r="F70" s="857"/>
      <c r="G70" s="581"/>
      <c r="H70" s="580"/>
      <c r="I70" s="579"/>
    </row>
  </sheetData>
  <sheetProtection algorithmName="SHA-512" hashValue="g9yN7FEvh7EqQmyNOstjFACFW6FRva72gEwbe+hlC+w7DILWmHc43qR6bhFGU2xyDTERWIutEAq3Di8Wdk24rQ==" saltValue="7KOeSboBsNF2oh1Am3E7Rg==" spinCount="100000" sheet="1" formatCells="0" formatColumns="0" formatRows="0" insertColumns="0" insertRows="0" insertHyperlinks="0" deleteColumns="0" deleteRows="0" sort="0" autoFilter="0" pivotTables="0"/>
  <dataConsolidate/>
  <mergeCells count="6">
    <mergeCell ref="E70:F70"/>
    <mergeCell ref="B4:I4"/>
    <mergeCell ref="G3:I3"/>
    <mergeCell ref="B7:I7"/>
    <mergeCell ref="E68:F68"/>
    <mergeCell ref="E69:F69"/>
  </mergeCells>
  <conditionalFormatting sqref="E70">
    <cfRule type="expression" dxfId="287" priority="2" stopIfTrue="1">
      <formula>(#REF!="")</formula>
    </cfRule>
    <cfRule type="expression" dxfId="286" priority="3" stopIfTrue="1">
      <formula>OR(#REF!="ERROR: Rating must be in 0.5 star increment")</formula>
    </cfRule>
  </conditionalFormatting>
  <conditionalFormatting sqref="H63">
    <cfRule type="expression" dxfId="285" priority="1" stopIfTrue="1">
      <formula>($B$25="ERROR: Percentage breakdown must total 100%")</formula>
    </cfRule>
  </conditionalFormatting>
  <conditionalFormatting sqref="I18:I28">
    <cfRule type="expression" dxfId="284" priority="4">
      <formula>$B18=""</formula>
    </cfRule>
  </conditionalFormatting>
  <conditionalFormatting sqref="I30:I33">
    <cfRule type="expression" dxfId="283" priority="5">
      <formula>NOT(SUM($I$30:$I$33)=1)</formula>
    </cfRule>
  </conditionalFormatting>
  <conditionalFormatting sqref="I58:I61">
    <cfRule type="expression" dxfId="282" priority="6" stopIfTrue="1">
      <formula>($B$16="ERROR: Percentage breakdown must total 100%")</formula>
    </cfRule>
  </conditionalFormatting>
  <dataValidations count="4">
    <dataValidation type="decimal" allowBlank="1" showInputMessage="1" showErrorMessage="1" sqref="I26" xr:uid="{9950C9FC-8B0E-431F-B0FB-8757390F1E73}">
      <formula1>0</formula1>
      <formula2>168</formula2>
    </dataValidation>
    <dataValidation type="decimal" allowBlank="1" showInputMessage="1" showErrorMessage="1" sqref="I15 WFO12:WFO13 VVS12:VVS13 VLW12:VLW13 VCA12:VCA13 USE12:USE13 UII12:UII13 TYM12:TYM13 TOQ12:TOQ13 TEU12:TEU13 SUY12:SUY13 SLC12:SLC13 SBG12:SBG13 RRK12:RRK13 RHO12:RHO13 QXS12:QXS13 QNW12:QNW13 QEA12:QEA13 PUE12:PUE13 PKI12:PKI13 PAM12:PAM13 OQQ12:OQQ13 OGU12:OGU13 NWY12:NWY13 NNC12:NNC13 NDG12:NDG13 MTK12:MTK13 MJO12:MJO13 LZS12:LZS13 LPW12:LPW13 LGA12:LGA13 KWE12:KWE13 KMI12:KMI13 KCM12:KCM13 JSQ12:JSQ13 JIU12:JIU13 IYY12:IYY13 IPC12:IPC13 IFG12:IFG13 HVK12:HVK13 HLO12:HLO13 HBS12:HBS13 GRW12:GRW13 GIA12:GIA13 FYE12:FYE13 FOI12:FOI13 FEM12:FEM13 EUQ12:EUQ13 EKU12:EKU13 EAY12:EAY13 DRC12:DRC13 DHG12:DHG13 CXK12:CXK13 CNO12:CNO13 CDS12:CDS13 BTW12:BTW13 BKA12:BKA13 BAE12:BAE13 AQI12:AQI13 AGM12:AGM13 WQ12:WQ13 MU12:MU13 CY12:CY13 WPK12:WPK13 E12:E14" xr:uid="{7DB42F5B-2DFE-4183-8B7C-80CFC8957DC7}">
      <formula1>0</formula1>
      <formula2>6</formula2>
    </dataValidation>
    <dataValidation type="list" allowBlank="1" showInputMessage="1" showErrorMessage="1" sqref="I19" xr:uid="{42948CFF-4186-4E79-BD64-401B048C0BF0}">
      <formula1>List_Warehouse_Operational_Data_Availability</formula1>
    </dataValidation>
    <dataValidation type="list" allowBlank="1" showInputMessage="1" showErrorMessage="1" sqref="I20" xr:uid="{3527C153-D94F-4329-B3CF-4E467252E369}">
      <formula1>List_Warehouse_Cold_Store_Presence</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A6446-0CC6-49EE-A0CC-1FD0E1E0F7C0}">
  <sheetPr codeName="Sheet14"/>
  <dimension ref="A1:FS12"/>
  <sheetViews>
    <sheetView zoomScale="85" zoomScaleNormal="85" workbookViewId="0">
      <pane xSplit="1" ySplit="3" topLeftCell="ES21" activePane="bottomRight" state="frozen"/>
      <selection pane="bottomRight" activeCell="ES21" sqref="ES21"/>
      <selection pane="bottomLeft" activeCell="AV3" sqref="AV3"/>
      <selection pane="topRight" activeCell="AV3" sqref="AV3"/>
    </sheetView>
  </sheetViews>
  <sheetFormatPr defaultColWidth="9.28515625" defaultRowHeight="16.5" customHeight="1"/>
  <cols>
    <col min="1" max="1" width="19.28515625" style="36" customWidth="1"/>
    <col min="2" max="2" width="10.5703125" style="36" customWidth="1"/>
    <col min="3" max="4" width="12.85546875" style="36" customWidth="1"/>
    <col min="5" max="5" width="14.5703125" style="36" customWidth="1"/>
    <col min="6" max="6" width="14.5703125" style="70" customWidth="1"/>
    <col min="7" max="11" width="14.5703125" style="36" customWidth="1"/>
    <col min="12" max="12" width="14.28515625" style="36" customWidth="1"/>
    <col min="13" max="16" width="12.28515625" style="36" customWidth="1"/>
    <col min="17" max="17" width="13.28515625" style="36" customWidth="1"/>
    <col min="18" max="18" width="16.85546875" style="36" customWidth="1"/>
    <col min="19" max="27" width="13.28515625" style="36" customWidth="1"/>
    <col min="28" max="28" width="14.85546875" style="36" customWidth="1"/>
    <col min="29" max="30" width="13.28515625" style="36" customWidth="1"/>
    <col min="31" max="31" width="12" style="36" customWidth="1"/>
    <col min="32" max="32" width="13.7109375" style="70" customWidth="1"/>
    <col min="33" max="35" width="9.28515625" style="70"/>
    <col min="36" max="41" width="9.28515625" style="36" customWidth="1"/>
    <col min="42" max="43" width="9.28515625" style="49" customWidth="1"/>
    <col min="44" max="52" width="10.28515625" style="36" customWidth="1"/>
    <col min="53" max="55" width="9.28515625" style="36"/>
    <col min="56" max="56" width="9.28515625" style="70"/>
    <col min="57" max="58" width="9.28515625" style="36"/>
    <col min="59" max="59" width="9.28515625" style="70"/>
    <col min="60" max="60" width="12.28515625" style="70" customWidth="1"/>
    <col min="61" max="61" width="10.5703125" style="70" customWidth="1"/>
    <col min="62" max="62" width="10.7109375" style="70" customWidth="1"/>
    <col min="63" max="63" width="11" style="70" customWidth="1"/>
    <col min="64" max="64" width="11.85546875" style="36" customWidth="1"/>
    <col min="65" max="65" width="10.7109375" style="36" customWidth="1"/>
    <col min="66" max="66" width="12.28515625" style="36" customWidth="1"/>
    <col min="67" max="67" width="10.85546875" style="36" customWidth="1"/>
    <col min="68" max="69" width="9.28515625" style="36" customWidth="1"/>
    <col min="70" max="70" width="10.5703125" style="36" customWidth="1"/>
    <col min="71" max="71" width="10.7109375" style="36" customWidth="1"/>
    <col min="72" max="72" width="9.28515625" style="70" bestFit="1" customWidth="1"/>
    <col min="73" max="73" width="9.28515625" style="70"/>
    <col min="74" max="74" width="12.7109375" style="36" customWidth="1"/>
    <col min="75" max="75" width="15" style="36" customWidth="1"/>
    <col min="76" max="93" width="12.7109375" style="36" customWidth="1"/>
    <col min="94" max="130" width="12.7109375" style="70" customWidth="1"/>
    <col min="131" max="134" width="12.7109375" style="36" customWidth="1"/>
    <col min="135" max="148" width="12.7109375" style="70" customWidth="1"/>
    <col min="149" max="158" width="12.7109375" style="36" customWidth="1"/>
    <col min="159" max="166" width="9.7109375" style="36" customWidth="1"/>
    <col min="167" max="168" width="9.28515625" style="70"/>
    <col min="169" max="177" width="9.7109375" style="36" customWidth="1"/>
    <col min="178" max="178" width="10.28515625" style="36" customWidth="1"/>
    <col min="179" max="180" width="10.7109375" style="36" customWidth="1"/>
    <col min="181" max="181" width="10.28515625" style="36" customWidth="1"/>
    <col min="182" max="182" width="10.7109375" style="36" customWidth="1"/>
    <col min="183" max="183" width="9.28515625" style="36"/>
    <col min="184" max="184" width="12.7109375" style="36" customWidth="1"/>
    <col min="185" max="228" width="9.7109375" style="36" customWidth="1"/>
    <col min="229" max="231" width="9.28515625" style="36" bestFit="1" customWidth="1"/>
    <col min="232" max="16384" width="9.28515625" style="36"/>
  </cols>
  <sheetData>
    <row r="1" spans="1:175" ht="16.5" customHeight="1">
      <c r="A1" s="201" t="s">
        <v>94</v>
      </c>
      <c r="B1" s="268" t="s">
        <v>1529</v>
      </c>
      <c r="C1" s="268"/>
      <c r="D1" s="268"/>
      <c r="E1" s="201"/>
      <c r="F1" s="268"/>
      <c r="G1" s="268"/>
      <c r="H1" s="268"/>
      <c r="I1" s="268"/>
      <c r="J1" s="268"/>
      <c r="K1" s="268"/>
      <c r="L1" s="269"/>
      <c r="M1" s="210" t="s">
        <v>96</v>
      </c>
      <c r="N1" s="270"/>
      <c r="O1" s="270"/>
      <c r="P1" s="271"/>
      <c r="Q1" s="204" t="s">
        <v>97</v>
      </c>
      <c r="R1" s="205"/>
      <c r="S1" s="205"/>
      <c r="T1" s="205"/>
      <c r="U1" s="205"/>
      <c r="V1" s="205"/>
      <c r="W1" s="205"/>
      <c r="X1" s="205"/>
      <c r="Y1" s="205"/>
      <c r="Z1" s="205"/>
      <c r="AA1" s="258"/>
      <c r="AB1" s="121" t="s">
        <v>98</v>
      </c>
      <c r="AC1" s="122"/>
      <c r="AD1" s="122"/>
      <c r="AE1" s="123"/>
      <c r="AF1" s="265" t="s">
        <v>100</v>
      </c>
      <c r="AG1" s="94"/>
      <c r="AH1" s="94"/>
      <c r="AI1" s="94"/>
      <c r="AJ1" s="118" t="s">
        <v>885</v>
      </c>
      <c r="AK1" s="117"/>
      <c r="AL1" s="117"/>
      <c r="AM1" s="117"/>
      <c r="AN1" s="117"/>
      <c r="AO1" s="117"/>
      <c r="AP1" s="118" t="s">
        <v>103</v>
      </c>
      <c r="AQ1" s="119"/>
      <c r="AR1" s="117"/>
      <c r="AS1" s="117"/>
      <c r="AT1" s="117"/>
      <c r="AU1" s="116"/>
      <c r="AV1" s="118" t="s">
        <v>886</v>
      </c>
      <c r="AW1" s="117"/>
      <c r="AX1" s="117"/>
      <c r="AY1" s="117"/>
      <c r="AZ1" s="117"/>
      <c r="BA1" s="117"/>
      <c r="BB1" s="117"/>
      <c r="BC1" s="117"/>
      <c r="BD1" s="118" t="s">
        <v>105</v>
      </c>
      <c r="BE1" s="117"/>
      <c r="BF1" s="117"/>
      <c r="BG1" s="117"/>
      <c r="BH1" s="117"/>
      <c r="BI1" s="117"/>
      <c r="BJ1" s="117"/>
      <c r="BK1" s="117"/>
      <c r="BL1" s="117"/>
      <c r="BM1" s="117"/>
      <c r="BN1" s="117"/>
      <c r="BO1" s="117"/>
      <c r="BP1" s="117"/>
      <c r="BQ1" s="117"/>
      <c r="BR1" s="117"/>
      <c r="BS1" s="117"/>
      <c r="BT1" s="117"/>
      <c r="BU1" s="117"/>
      <c r="BV1" s="118" t="s">
        <v>107</v>
      </c>
      <c r="BW1" s="119"/>
      <c r="BX1" s="117"/>
      <c r="BY1" s="117"/>
      <c r="BZ1" s="117"/>
      <c r="CA1" s="117"/>
      <c r="CB1" s="117"/>
      <c r="CC1" s="117"/>
      <c r="CD1" s="117"/>
      <c r="CE1" s="117"/>
      <c r="CF1" s="117"/>
      <c r="CG1" s="116"/>
      <c r="CH1" s="118" t="s">
        <v>109</v>
      </c>
      <c r="CI1" s="117"/>
      <c r="CJ1" s="117"/>
      <c r="CK1" s="117"/>
      <c r="CL1" s="117"/>
      <c r="CM1" s="117"/>
      <c r="CN1" s="117"/>
      <c r="CO1" s="117"/>
      <c r="CP1" s="117"/>
      <c r="CQ1" s="117"/>
      <c r="CR1" s="117"/>
      <c r="CS1" s="116"/>
      <c r="CT1" s="354"/>
      <c r="CU1" s="174"/>
      <c r="CV1" s="174"/>
      <c r="CW1" s="174"/>
      <c r="CX1" s="174"/>
      <c r="CY1" s="174"/>
      <c r="CZ1" s="174"/>
      <c r="DA1" s="174"/>
      <c r="DB1" s="174"/>
      <c r="DC1" s="174"/>
      <c r="DD1" s="292"/>
      <c r="DE1" s="174"/>
      <c r="DF1" s="264"/>
      <c r="DG1" s="117"/>
      <c r="DH1" s="117"/>
      <c r="DI1" s="117"/>
      <c r="DJ1" s="117"/>
      <c r="DK1" s="117"/>
      <c r="DL1" s="117"/>
      <c r="DM1" s="117"/>
      <c r="DN1" s="117"/>
      <c r="DO1" s="117"/>
      <c r="DP1" s="116"/>
      <c r="DQ1" s="174"/>
      <c r="DR1" s="354"/>
      <c r="DS1" s="174"/>
      <c r="DT1" s="174"/>
      <c r="DU1" s="174"/>
      <c r="DV1" s="174"/>
      <c r="DW1" s="174"/>
      <c r="DX1" s="174"/>
      <c r="DY1" s="174"/>
      <c r="DZ1" s="174"/>
      <c r="EA1" s="174"/>
      <c r="EB1" s="292"/>
      <c r="EC1" s="174"/>
      <c r="ED1" s="354"/>
      <c r="EE1" s="174"/>
      <c r="EF1" s="174"/>
      <c r="EG1" s="174"/>
      <c r="EH1" s="174"/>
      <c r="EI1" s="174"/>
      <c r="EJ1" s="174"/>
      <c r="EK1" s="174"/>
      <c r="EL1" s="174"/>
      <c r="EM1" s="174"/>
      <c r="EN1" s="292"/>
      <c r="EO1" s="174"/>
      <c r="EP1" s="174"/>
      <c r="EQ1" s="174"/>
      <c r="ER1" s="174"/>
      <c r="ES1" s="174"/>
      <c r="ET1" s="174"/>
      <c r="EU1" s="174"/>
      <c r="EV1" s="174"/>
      <c r="EW1" s="174"/>
      <c r="EX1" s="174"/>
      <c r="EY1" s="174"/>
      <c r="EZ1" s="174"/>
      <c r="FA1" s="174"/>
      <c r="FB1" s="264"/>
      <c r="FC1" s="117"/>
      <c r="FD1" s="117"/>
      <c r="FE1" s="117"/>
      <c r="FF1" s="117"/>
      <c r="FG1" s="117"/>
      <c r="FH1" s="117"/>
      <c r="FI1" s="117"/>
      <c r="FJ1" s="117"/>
      <c r="FK1" s="117"/>
      <c r="FL1" s="116"/>
      <c r="FM1" s="116"/>
      <c r="FN1" s="290" t="s">
        <v>111</v>
      </c>
      <c r="FO1" s="208"/>
      <c r="FP1" s="208"/>
      <c r="FQ1" s="316"/>
      <c r="FR1" s="208"/>
      <c r="FS1" s="174"/>
    </row>
    <row r="2" spans="1:175" ht="80.45" customHeight="1">
      <c r="B2" s="253" t="s">
        <v>25</v>
      </c>
      <c r="C2" s="253" t="s">
        <v>1530</v>
      </c>
      <c r="D2" s="253" t="s">
        <v>1531</v>
      </c>
      <c r="E2" s="253" t="s">
        <v>1518</v>
      </c>
      <c r="F2" s="267" t="s">
        <v>1519</v>
      </c>
      <c r="G2" s="253" t="s">
        <v>1520</v>
      </c>
      <c r="H2" s="253" t="s">
        <v>1532</v>
      </c>
      <c r="I2" s="253" t="s">
        <v>1533</v>
      </c>
      <c r="J2" s="253" t="s">
        <v>1521</v>
      </c>
      <c r="K2" s="253" t="s">
        <v>1534</v>
      </c>
      <c r="L2" s="253" t="s">
        <v>1535</v>
      </c>
      <c r="M2" s="253" t="s">
        <v>116</v>
      </c>
      <c r="N2" s="253" t="s">
        <v>117</v>
      </c>
      <c r="O2" s="253" t="s">
        <v>892</v>
      </c>
      <c r="P2" s="298" t="s">
        <v>118</v>
      </c>
      <c r="AB2" s="253" t="s">
        <v>60</v>
      </c>
      <c r="AC2" s="253" t="s">
        <v>894</v>
      </c>
      <c r="AD2" s="253" t="s">
        <v>869</v>
      </c>
      <c r="AE2" s="253" t="s">
        <v>62</v>
      </c>
      <c r="AF2" s="236" t="s">
        <v>895</v>
      </c>
      <c r="AG2" s="237" t="s">
        <v>123</v>
      </c>
      <c r="AH2" s="237" t="s">
        <v>124</v>
      </c>
      <c r="AI2" s="238" t="s">
        <v>125</v>
      </c>
      <c r="AJ2" s="250" t="s">
        <v>1307</v>
      </c>
      <c r="AK2" s="230" t="s">
        <v>1308</v>
      </c>
      <c r="AL2" s="230" t="s">
        <v>1536</v>
      </c>
      <c r="AM2" s="230" t="s">
        <v>1310</v>
      </c>
      <c r="AN2" s="230" t="s">
        <v>1537</v>
      </c>
      <c r="AO2" s="230"/>
      <c r="AP2" s="250" t="s">
        <v>129</v>
      </c>
      <c r="AQ2" s="230" t="s">
        <v>904</v>
      </c>
      <c r="AR2" s="230" t="s">
        <v>130</v>
      </c>
      <c r="AS2" s="230" t="s">
        <v>131</v>
      </c>
      <c r="AT2" s="230" t="s">
        <v>132</v>
      </c>
      <c r="AU2" s="231" t="s">
        <v>133</v>
      </c>
      <c r="AV2" s="250" t="s">
        <v>134</v>
      </c>
      <c r="AW2" s="230" t="s">
        <v>135</v>
      </c>
      <c r="AX2" s="230" t="s">
        <v>905</v>
      </c>
      <c r="AY2" s="230" t="s">
        <v>136</v>
      </c>
      <c r="AZ2" s="230" t="s">
        <v>137</v>
      </c>
      <c r="BA2" s="230" t="s">
        <v>138</v>
      </c>
      <c r="BB2" s="230" t="s">
        <v>906</v>
      </c>
      <c r="BC2" s="230" t="s">
        <v>139</v>
      </c>
      <c r="BD2" s="249" t="s">
        <v>1538</v>
      </c>
      <c r="BE2" s="249" t="s">
        <v>1539</v>
      </c>
      <c r="BF2" s="249" t="s">
        <v>1540</v>
      </c>
      <c r="BG2" s="249" t="s">
        <v>1541</v>
      </c>
      <c r="BH2" s="249" t="s">
        <v>1542</v>
      </c>
      <c r="BI2" s="249" t="s">
        <v>1543</v>
      </c>
      <c r="BJ2" s="249" t="s">
        <v>1544</v>
      </c>
      <c r="BK2" s="249" t="s">
        <v>1545</v>
      </c>
      <c r="BL2" s="249" t="s">
        <v>1546</v>
      </c>
      <c r="BM2" s="249" t="s">
        <v>1547</v>
      </c>
      <c r="BN2" s="249" t="s">
        <v>1548</v>
      </c>
      <c r="BO2" s="249" t="s">
        <v>1549</v>
      </c>
      <c r="BP2" s="249" t="s">
        <v>1550</v>
      </c>
      <c r="BQ2" s="249" t="s">
        <v>1551</v>
      </c>
      <c r="BR2" s="249" t="s">
        <v>1548</v>
      </c>
      <c r="BS2" s="249" t="s">
        <v>1549</v>
      </c>
      <c r="BT2" s="249" t="s">
        <v>1552</v>
      </c>
      <c r="BU2" s="604" t="s">
        <v>1553</v>
      </c>
      <c r="BV2" s="248" t="s">
        <v>928</v>
      </c>
      <c r="BW2" s="154" t="s">
        <v>156</v>
      </c>
      <c r="BX2" s="154" t="s">
        <v>157</v>
      </c>
      <c r="BY2" s="154" t="s">
        <v>158</v>
      </c>
      <c r="BZ2" s="154" t="s">
        <v>159</v>
      </c>
      <c r="CA2" s="154" t="s">
        <v>930</v>
      </c>
      <c r="CB2" s="154" t="s">
        <v>160</v>
      </c>
      <c r="CC2" s="154" t="s">
        <v>161</v>
      </c>
      <c r="CD2" s="154" t="s">
        <v>931</v>
      </c>
      <c r="CE2" s="154" t="s">
        <v>162</v>
      </c>
      <c r="CF2" s="154" t="s">
        <v>163</v>
      </c>
      <c r="CG2" s="154" t="s">
        <v>164</v>
      </c>
      <c r="CH2" s="369" t="s">
        <v>1554</v>
      </c>
      <c r="CI2" s="154" t="s">
        <v>1555</v>
      </c>
      <c r="CJ2" s="154" t="s">
        <v>1556</v>
      </c>
      <c r="CK2" s="154" t="s">
        <v>1557</v>
      </c>
      <c r="CL2" s="154" t="s">
        <v>1558</v>
      </c>
      <c r="CM2" s="154" t="s">
        <v>1559</v>
      </c>
      <c r="CN2" s="154" t="s">
        <v>1560</v>
      </c>
      <c r="CO2" s="154" t="s">
        <v>1561</v>
      </c>
      <c r="CP2" s="154" t="s">
        <v>1562</v>
      </c>
      <c r="CQ2" s="154" t="s">
        <v>1563</v>
      </c>
      <c r="CR2" s="154" t="s">
        <v>1564</v>
      </c>
      <c r="CS2" s="154" t="s">
        <v>1565</v>
      </c>
      <c r="CT2" s="232" t="s">
        <v>191</v>
      </c>
      <c r="CU2" s="233" t="s">
        <v>192</v>
      </c>
      <c r="CV2" s="233" t="s">
        <v>193</v>
      </c>
      <c r="CW2" s="233" t="s">
        <v>194</v>
      </c>
      <c r="CX2" s="233" t="s">
        <v>195</v>
      </c>
      <c r="CY2" s="233" t="s">
        <v>196</v>
      </c>
      <c r="CZ2" s="233" t="s">
        <v>197</v>
      </c>
      <c r="DA2" s="233" t="s">
        <v>198</v>
      </c>
      <c r="DB2" s="233" t="s">
        <v>199</v>
      </c>
      <c r="DC2" s="233" t="s">
        <v>200</v>
      </c>
      <c r="DD2" s="233" t="s">
        <v>201</v>
      </c>
      <c r="DE2" s="234" t="s">
        <v>202</v>
      </c>
      <c r="DF2" s="233" t="s">
        <v>203</v>
      </c>
      <c r="DG2" s="233" t="s">
        <v>204</v>
      </c>
      <c r="DH2" s="233" t="s">
        <v>205</v>
      </c>
      <c r="DI2" s="233" t="s">
        <v>206</v>
      </c>
      <c r="DJ2" s="233" t="s">
        <v>207</v>
      </c>
      <c r="DK2" s="233" t="s">
        <v>208</v>
      </c>
      <c r="DL2" s="233" t="s">
        <v>209</v>
      </c>
      <c r="DM2" s="233" t="s">
        <v>210</v>
      </c>
      <c r="DN2" s="233" t="s">
        <v>211</v>
      </c>
      <c r="DO2" s="233" t="s">
        <v>212</v>
      </c>
      <c r="DP2" s="233" t="s">
        <v>213</v>
      </c>
      <c r="DQ2" s="233" t="s">
        <v>214</v>
      </c>
      <c r="DR2" s="241" t="s">
        <v>215</v>
      </c>
      <c r="DS2" s="242" t="s">
        <v>216</v>
      </c>
      <c r="DT2" s="242" t="s">
        <v>217</v>
      </c>
      <c r="DU2" s="242" t="s">
        <v>218</v>
      </c>
      <c r="DV2" s="242" t="s">
        <v>219</v>
      </c>
      <c r="DW2" s="242" t="s">
        <v>220</v>
      </c>
      <c r="DX2" s="242" t="s">
        <v>221</v>
      </c>
      <c r="DY2" s="242" t="s">
        <v>222</v>
      </c>
      <c r="DZ2" s="242" t="s">
        <v>223</v>
      </c>
      <c r="EA2" s="242" t="s">
        <v>224</v>
      </c>
      <c r="EB2" s="242" t="s">
        <v>225</v>
      </c>
      <c r="EC2" s="243" t="s">
        <v>226</v>
      </c>
      <c r="ED2" s="233" t="s">
        <v>227</v>
      </c>
      <c r="EE2" s="233" t="s">
        <v>228</v>
      </c>
      <c r="EF2" s="233" t="s">
        <v>229</v>
      </c>
      <c r="EG2" s="233" t="s">
        <v>230</v>
      </c>
      <c r="EH2" s="233" t="s">
        <v>231</v>
      </c>
      <c r="EI2" s="233" t="s">
        <v>232</v>
      </c>
      <c r="EJ2" s="233" t="s">
        <v>233</v>
      </c>
      <c r="EK2" s="233" t="s">
        <v>234</v>
      </c>
      <c r="EL2" s="233" t="s">
        <v>235</v>
      </c>
      <c r="EM2" s="233" t="s">
        <v>236</v>
      </c>
      <c r="EN2" s="233" t="s">
        <v>237</v>
      </c>
      <c r="EO2" s="234" t="s">
        <v>238</v>
      </c>
      <c r="EP2" s="233" t="s">
        <v>936</v>
      </c>
      <c r="EQ2" s="233" t="s">
        <v>937</v>
      </c>
      <c r="ER2" s="233" t="s">
        <v>938</v>
      </c>
      <c r="ES2" s="233" t="s">
        <v>939</v>
      </c>
      <c r="ET2" s="233" t="s">
        <v>940</v>
      </c>
      <c r="EU2" s="233" t="s">
        <v>941</v>
      </c>
      <c r="EV2" s="233" t="s">
        <v>942</v>
      </c>
      <c r="EW2" s="233" t="s">
        <v>943</v>
      </c>
      <c r="EX2" s="233" t="s">
        <v>944</v>
      </c>
      <c r="EY2" s="233" t="s">
        <v>945</v>
      </c>
      <c r="EZ2" s="233" t="s">
        <v>946</v>
      </c>
      <c r="FA2" s="234" t="s">
        <v>947</v>
      </c>
      <c r="FB2" s="241" t="s">
        <v>239</v>
      </c>
      <c r="FC2" s="242" t="s">
        <v>240</v>
      </c>
      <c r="FD2" s="242" t="s">
        <v>241</v>
      </c>
      <c r="FE2" s="242" t="s">
        <v>242</v>
      </c>
      <c r="FF2" s="242" t="s">
        <v>243</v>
      </c>
      <c r="FG2" s="242" t="s">
        <v>244</v>
      </c>
      <c r="FH2" s="242" t="s">
        <v>245</v>
      </c>
      <c r="FI2" s="242" t="s">
        <v>246</v>
      </c>
      <c r="FJ2" s="242" t="s">
        <v>247</v>
      </c>
      <c r="FK2" s="242" t="s">
        <v>248</v>
      </c>
      <c r="FL2" s="242" t="s">
        <v>249</v>
      </c>
      <c r="FM2" s="243" t="s">
        <v>250</v>
      </c>
      <c r="FN2" s="219" t="s">
        <v>299</v>
      </c>
      <c r="FO2" s="220" t="s">
        <v>300</v>
      </c>
      <c r="FP2" s="220" t="s">
        <v>1566</v>
      </c>
      <c r="FQ2" s="220" t="s">
        <v>1567</v>
      </c>
      <c r="FR2" s="220"/>
      <c r="FS2" s="221" t="s">
        <v>1568</v>
      </c>
    </row>
    <row r="3" spans="1:175" ht="80.45" customHeight="1">
      <c r="A3" s="212" t="s">
        <v>314</v>
      </c>
      <c r="B3" s="150" t="s">
        <v>316</v>
      </c>
      <c r="C3" s="150" t="s">
        <v>1569</v>
      </c>
      <c r="D3" s="150" t="s">
        <v>1570</v>
      </c>
      <c r="E3" s="150" t="s">
        <v>1571</v>
      </c>
      <c r="F3" s="255" t="s">
        <v>1572</v>
      </c>
      <c r="G3" s="255" t="s">
        <v>1573</v>
      </c>
      <c r="H3" s="255" t="s">
        <v>1574</v>
      </c>
      <c r="I3" s="255" t="s">
        <v>1575</v>
      </c>
      <c r="J3" s="255" t="s">
        <v>1576</v>
      </c>
      <c r="K3" s="255" t="s">
        <v>1577</v>
      </c>
      <c r="L3" s="255" t="s">
        <v>1578</v>
      </c>
      <c r="M3" s="255" t="s">
        <v>116</v>
      </c>
      <c r="N3" s="272" t="s">
        <v>117</v>
      </c>
      <c r="O3" s="272" t="s">
        <v>892</v>
      </c>
      <c r="P3" s="256" t="s">
        <v>118</v>
      </c>
      <c r="Q3" s="188" t="s">
        <v>970</v>
      </c>
      <c r="R3" s="188" t="s">
        <v>320</v>
      </c>
      <c r="S3" s="188" t="s">
        <v>35</v>
      </c>
      <c r="T3" s="188" t="s">
        <v>41</v>
      </c>
      <c r="U3" s="188" t="s">
        <v>43</v>
      </c>
      <c r="V3" s="188" t="s">
        <v>855</v>
      </c>
      <c r="W3" s="188" t="s">
        <v>857</v>
      </c>
      <c r="X3" s="188" t="s">
        <v>47</v>
      </c>
      <c r="Y3" s="188" t="s">
        <v>50</v>
      </c>
      <c r="Z3" s="188" t="s">
        <v>864</v>
      </c>
      <c r="AA3" s="188" t="s">
        <v>53</v>
      </c>
      <c r="AB3" s="215" t="s">
        <v>321</v>
      </c>
      <c r="AC3" s="255" t="s">
        <v>322</v>
      </c>
      <c r="AD3" s="255" t="s">
        <v>851</v>
      </c>
      <c r="AE3" s="255" t="s">
        <v>323</v>
      </c>
      <c r="AF3" s="236" t="s">
        <v>327</v>
      </c>
      <c r="AG3" s="237" t="s">
        <v>328</v>
      </c>
      <c r="AH3" s="237" t="s">
        <v>124</v>
      </c>
      <c r="AI3" s="238" t="s">
        <v>125</v>
      </c>
      <c r="AJ3" s="257" t="s">
        <v>332</v>
      </c>
      <c r="AK3" s="239" t="s">
        <v>333</v>
      </c>
      <c r="AL3" s="239" t="s">
        <v>971</v>
      </c>
      <c r="AM3" s="239" t="s">
        <v>334</v>
      </c>
      <c r="AN3" s="239" t="s">
        <v>973</v>
      </c>
      <c r="AO3" s="239" t="s">
        <v>974</v>
      </c>
      <c r="AP3" s="257" t="s">
        <v>335</v>
      </c>
      <c r="AQ3" s="239" t="s">
        <v>975</v>
      </c>
      <c r="AR3" s="239" t="s">
        <v>336</v>
      </c>
      <c r="AS3" s="239" t="s">
        <v>799</v>
      </c>
      <c r="AT3" s="239" t="s">
        <v>800</v>
      </c>
      <c r="AU3" s="240" t="s">
        <v>339</v>
      </c>
      <c r="AV3" s="257" t="s">
        <v>340</v>
      </c>
      <c r="AW3" s="239" t="s">
        <v>341</v>
      </c>
      <c r="AX3" s="239" t="s">
        <v>976</v>
      </c>
      <c r="AY3" s="239" t="s">
        <v>342</v>
      </c>
      <c r="AZ3" s="239" t="s">
        <v>343</v>
      </c>
      <c r="BA3" s="239" t="s">
        <v>344</v>
      </c>
      <c r="BB3" s="239" t="s">
        <v>977</v>
      </c>
      <c r="BC3" s="239" t="s">
        <v>345</v>
      </c>
      <c r="BD3" s="249" t="s">
        <v>1579</v>
      </c>
      <c r="BE3" s="249" t="s">
        <v>1580</v>
      </c>
      <c r="BF3" s="249" t="s">
        <v>1581</v>
      </c>
      <c r="BG3" s="249" t="s">
        <v>1582</v>
      </c>
      <c r="BH3" s="249" t="s">
        <v>1583</v>
      </c>
      <c r="BI3" s="249" t="s">
        <v>1584</v>
      </c>
      <c r="BJ3" s="249" t="s">
        <v>1585</v>
      </c>
      <c r="BK3" s="249" t="s">
        <v>1586</v>
      </c>
      <c r="BL3" s="249" t="s">
        <v>1587</v>
      </c>
      <c r="BM3" s="249" t="s">
        <v>1588</v>
      </c>
      <c r="BN3" s="249" t="s">
        <v>1589</v>
      </c>
      <c r="BO3" s="605" t="s">
        <v>1590</v>
      </c>
      <c r="BP3" s="249" t="s">
        <v>1591</v>
      </c>
      <c r="BQ3" s="249" t="s">
        <v>1592</v>
      </c>
      <c r="BR3" s="249" t="s">
        <v>1593</v>
      </c>
      <c r="BS3" s="249" t="s">
        <v>1594</v>
      </c>
      <c r="BT3" s="249" t="s">
        <v>1595</v>
      </c>
      <c r="BU3" s="604" t="s">
        <v>1596</v>
      </c>
      <c r="BV3" s="248" t="s">
        <v>615</v>
      </c>
      <c r="BW3" s="242" t="s">
        <v>996</v>
      </c>
      <c r="BX3" s="242" t="s">
        <v>371</v>
      </c>
      <c r="BY3" s="242" t="s">
        <v>372</v>
      </c>
      <c r="BZ3" s="242" t="s">
        <v>373</v>
      </c>
      <c r="CA3" s="242" t="s">
        <v>374</v>
      </c>
      <c r="CB3" s="242" t="s">
        <v>375</v>
      </c>
      <c r="CC3" s="242" t="s">
        <v>376</v>
      </c>
      <c r="CD3" s="242" t="s">
        <v>997</v>
      </c>
      <c r="CE3" s="242" t="s">
        <v>377</v>
      </c>
      <c r="CF3" s="242" t="s">
        <v>378</v>
      </c>
      <c r="CG3" s="242" t="s">
        <v>379</v>
      </c>
      <c r="CH3" s="369" t="s">
        <v>1554</v>
      </c>
      <c r="CI3" s="154" t="s">
        <v>1555</v>
      </c>
      <c r="CJ3" s="154" t="s">
        <v>1556</v>
      </c>
      <c r="CK3" s="154" t="s">
        <v>1557</v>
      </c>
      <c r="CL3" s="154" t="s">
        <v>1558</v>
      </c>
      <c r="CM3" s="154" t="s">
        <v>1559</v>
      </c>
      <c r="CN3" s="154" t="s">
        <v>1560</v>
      </c>
      <c r="CO3" s="154" t="s">
        <v>1561</v>
      </c>
      <c r="CP3" s="154" t="s">
        <v>1562</v>
      </c>
      <c r="CQ3" s="154" t="s">
        <v>1563</v>
      </c>
      <c r="CR3" s="154" t="s">
        <v>1564</v>
      </c>
      <c r="CS3" s="154" t="s">
        <v>1565</v>
      </c>
      <c r="CT3" s="241" t="s">
        <v>406</v>
      </c>
      <c r="CU3" s="242" t="s">
        <v>407</v>
      </c>
      <c r="CV3" s="242" t="s">
        <v>408</v>
      </c>
      <c r="CW3" s="242" t="s">
        <v>409</v>
      </c>
      <c r="CX3" s="242" t="s">
        <v>410</v>
      </c>
      <c r="CY3" s="242" t="s">
        <v>411</v>
      </c>
      <c r="CZ3" s="242" t="s">
        <v>412</v>
      </c>
      <c r="DA3" s="242" t="s">
        <v>413</v>
      </c>
      <c r="DB3" s="242" t="s">
        <v>414</v>
      </c>
      <c r="DC3" s="242" t="s">
        <v>415</v>
      </c>
      <c r="DD3" s="242" t="s">
        <v>416</v>
      </c>
      <c r="DE3" s="243" t="s">
        <v>417</v>
      </c>
      <c r="DF3" s="241" t="s">
        <v>203</v>
      </c>
      <c r="DG3" s="242" t="s">
        <v>204</v>
      </c>
      <c r="DH3" s="242" t="s">
        <v>205</v>
      </c>
      <c r="DI3" s="242" t="s">
        <v>206</v>
      </c>
      <c r="DJ3" s="242" t="s">
        <v>207</v>
      </c>
      <c r="DK3" s="242" t="s">
        <v>208</v>
      </c>
      <c r="DL3" s="242" t="s">
        <v>209</v>
      </c>
      <c r="DM3" s="242" t="s">
        <v>210</v>
      </c>
      <c r="DN3" s="242" t="s">
        <v>211</v>
      </c>
      <c r="DO3" s="242" t="s">
        <v>212</v>
      </c>
      <c r="DP3" s="242" t="s">
        <v>213</v>
      </c>
      <c r="DQ3" s="243" t="s">
        <v>214</v>
      </c>
      <c r="DR3" s="367" t="s">
        <v>418</v>
      </c>
      <c r="DS3" s="366" t="s">
        <v>419</v>
      </c>
      <c r="DT3" s="366" t="s">
        <v>420</v>
      </c>
      <c r="DU3" s="366" t="s">
        <v>421</v>
      </c>
      <c r="DV3" s="366" t="s">
        <v>422</v>
      </c>
      <c r="DW3" s="366" t="s">
        <v>423</v>
      </c>
      <c r="DX3" s="366" t="s">
        <v>424</v>
      </c>
      <c r="DY3" s="366" t="s">
        <v>425</v>
      </c>
      <c r="DZ3" s="366" t="s">
        <v>426</v>
      </c>
      <c r="EA3" s="366" t="s">
        <v>427</v>
      </c>
      <c r="EB3" s="366" t="s">
        <v>428</v>
      </c>
      <c r="EC3" s="368" t="s">
        <v>429</v>
      </c>
      <c r="ED3" s="241" t="s">
        <v>227</v>
      </c>
      <c r="EE3" s="242" t="s">
        <v>228</v>
      </c>
      <c r="EF3" s="242" t="s">
        <v>229</v>
      </c>
      <c r="EG3" s="242" t="s">
        <v>230</v>
      </c>
      <c r="EH3" s="242" t="s">
        <v>231</v>
      </c>
      <c r="EI3" s="242" t="s">
        <v>232</v>
      </c>
      <c r="EJ3" s="242" t="s">
        <v>233</v>
      </c>
      <c r="EK3" s="242" t="s">
        <v>234</v>
      </c>
      <c r="EL3" s="242" t="s">
        <v>235</v>
      </c>
      <c r="EM3" s="242" t="s">
        <v>236</v>
      </c>
      <c r="EN3" s="242" t="s">
        <v>237</v>
      </c>
      <c r="EO3" s="243" t="s">
        <v>238</v>
      </c>
      <c r="EP3" s="233" t="s">
        <v>936</v>
      </c>
      <c r="EQ3" s="233" t="s">
        <v>937</v>
      </c>
      <c r="ER3" s="233" t="s">
        <v>938</v>
      </c>
      <c r="ES3" s="233" t="s">
        <v>939</v>
      </c>
      <c r="ET3" s="233" t="s">
        <v>940</v>
      </c>
      <c r="EU3" s="233" t="s">
        <v>941</v>
      </c>
      <c r="EV3" s="233" t="s">
        <v>942</v>
      </c>
      <c r="EW3" s="233" t="s">
        <v>943</v>
      </c>
      <c r="EX3" s="233" t="s">
        <v>944</v>
      </c>
      <c r="EY3" s="233" t="s">
        <v>945</v>
      </c>
      <c r="EZ3" s="233" t="s">
        <v>946</v>
      </c>
      <c r="FA3" s="234" t="s">
        <v>947</v>
      </c>
      <c r="FB3" s="366" t="s">
        <v>239</v>
      </c>
      <c r="FC3" s="366" t="s">
        <v>240</v>
      </c>
      <c r="FD3" s="366" t="s">
        <v>241</v>
      </c>
      <c r="FE3" s="366" t="s">
        <v>242</v>
      </c>
      <c r="FF3" s="366" t="s">
        <v>243</v>
      </c>
      <c r="FG3" s="366" t="s">
        <v>244</v>
      </c>
      <c r="FH3" s="366" t="s">
        <v>245</v>
      </c>
      <c r="FI3" s="366" t="s">
        <v>246</v>
      </c>
      <c r="FJ3" s="366" t="s">
        <v>247</v>
      </c>
      <c r="FK3" s="366" t="s">
        <v>248</v>
      </c>
      <c r="FL3" s="366" t="s">
        <v>249</v>
      </c>
      <c r="FM3" s="366" t="s">
        <v>250</v>
      </c>
      <c r="FN3" s="219" t="s">
        <v>430</v>
      </c>
      <c r="FO3" s="220" t="s">
        <v>431</v>
      </c>
      <c r="FP3" s="220" t="s">
        <v>1528</v>
      </c>
      <c r="FQ3" s="220" t="s">
        <v>1597</v>
      </c>
      <c r="FR3" s="220" t="s">
        <v>1598</v>
      </c>
      <c r="FS3" s="220" t="s">
        <v>1599</v>
      </c>
    </row>
    <row r="4" spans="1:175" ht="16.5" customHeight="1">
      <c r="A4" s="484">
        <f>Warehouse_Target_Energy</f>
        <v>0</v>
      </c>
      <c r="B4" s="485">
        <f>Warehouse_Postcode</f>
        <v>0</v>
      </c>
      <c r="C4" s="485">
        <f>Warehouse_Operational_Data</f>
        <v>0</v>
      </c>
      <c r="D4" s="485">
        <f>Warehouse_Cold_Store</f>
        <v>0</v>
      </c>
      <c r="E4" s="488">
        <f>Warehouse_Total_GLA</f>
        <v>0</v>
      </c>
      <c r="F4" s="488">
        <f>Warehouse_Conditioned_GLA</f>
        <v>0</v>
      </c>
      <c r="G4" s="488">
        <f>Warehouse_Non_Conditioned_GLA</f>
        <v>0</v>
      </c>
      <c r="H4" s="488">
        <f>Warehouse_Cool_Volume</f>
        <v>0</v>
      </c>
      <c r="I4" s="488">
        <f>Warehouse_Cold_Volume</f>
        <v>0</v>
      </c>
      <c r="J4" s="488">
        <f>Warehouse_Hours</f>
        <v>0</v>
      </c>
      <c r="K4" s="488">
        <f>Warehouse_FTE</f>
        <v>0</v>
      </c>
      <c r="L4" s="486">
        <f>Warehouse_ATR</f>
        <v>0</v>
      </c>
      <c r="M4" s="487">
        <f>Warehouse_Elec_Percent</f>
        <v>0</v>
      </c>
      <c r="N4" s="487">
        <f>Warehouse_Gas_Percent</f>
        <v>0</v>
      </c>
      <c r="O4" s="487">
        <f>Warehouse_LPG_Percent</f>
        <v>0</v>
      </c>
      <c r="P4" s="487">
        <f>Warehouse_Diesel_Percent</f>
        <v>0</v>
      </c>
      <c r="Q4" s="126">
        <f>tbl_WaCS_Multi[[#This Row],[Predicted Emissions Ratio]]</f>
        <v>1.6408</v>
      </c>
      <c r="R4" s="42" t="e">
        <f>tbl_WaCS_Multi[[#This Row],[Predicted Emissions]]</f>
        <v>#DIV/0!</v>
      </c>
      <c r="S4" s="42" t="e">
        <f>tbl_WaCS_Multi[[#This Row],[Target Max CO2]]</f>
        <v>#DIV/0!</v>
      </c>
      <c r="T4" s="42" t="e">
        <f>tbl_WaCS_Multi[[#This Row],[Target Max GE]]</f>
        <v>#DIV/0!</v>
      </c>
      <c r="U4" s="378" t="e">
        <f>tbl_WaCS_Multi[[#This Row],[Target Max Energy Intensity]]</f>
        <v>#DIV/0!</v>
      </c>
      <c r="V4" s="42" t="e">
        <f>tbl_WaCS_Multi[[#This Row],[Target Scopes 1,2&amp;3]]</f>
        <v>#DIV/0!</v>
      </c>
      <c r="W4" s="42" t="e">
        <f>tbl_WaCS_Multi[[#This Row],[Target Scopes 1&amp;2]]</f>
        <v>#DIV/0!</v>
      </c>
      <c r="X4" s="42" t="e">
        <f>tbl_WaCS_Multi[[#This Row],[Target Max Elec (kWh)]]</f>
        <v>#DIV/0!</v>
      </c>
      <c r="Y4" s="42" t="e">
        <f>tbl_WaCS_Multi[[#This Row],[Target Max Gas (MJ)]]</f>
        <v>#DIV/0!</v>
      </c>
      <c r="Z4" s="42" t="e">
        <f>tbl_WaCS_Multi[[#This Row],[Target Max LPG (L)]]</f>
        <v>#DIV/0!</v>
      </c>
      <c r="AA4" s="42" t="e">
        <f>tbl_WaCS_Multi[[#This Row],[Target Max Diesel (L)]]</f>
        <v>#DIV/0!</v>
      </c>
      <c r="AB4" s="285">
        <f>Warehouse_Elec_FWD</f>
        <v>0</v>
      </c>
      <c r="AC4" s="285">
        <f>Warehouse_Gas_FWD</f>
        <v>0</v>
      </c>
      <c r="AD4" s="285">
        <f>Warehouse_LPG_FWD</f>
        <v>0</v>
      </c>
      <c r="AE4" s="285">
        <f>Warehouse_Diesel_FWD</f>
        <v>0</v>
      </c>
      <c r="AF4" s="45" t="e">
        <f>INDEX(tbl_Climate_Lookup[#Data],MATCH(tbl_WaCS_Multi[[Postcode]:[Postcode]],tbl_Climate_Lookup[[Postcode]:[Postcode]],0),MATCH(tbl_WaCS_Multi[[#Headers],[State]],tbl_Climate_Lookup[#Headers],0))</f>
        <v>#N/A</v>
      </c>
      <c r="AG4" s="45" t="e">
        <f>INDEX(tbl_Climate_Lookup[#Data],MATCH(tbl_WaCS_Multi[[Postcode]:[Postcode]],tbl_Climate_Lookup[[Postcode]:[Postcode]],0),MATCH(tbl_WaCS_Multi[[#Headers],[Climate zone]],tbl_Climate_Lookup[#Headers],0))</f>
        <v>#N/A</v>
      </c>
      <c r="AH4" s="169" t="e">
        <f>INDEX(tbl_Climate_Lookup[#Data],MATCH(tbl_WaCS_Multi[[Postcode]:[Postcode]],tbl_Climate_Lookup[[Postcode]:[Postcode]],0),MATCH(tbl_WaCS_Multi[[#Headers],[HDD]],tbl_Climate_Lookup[#Headers],0))</f>
        <v>#N/A</v>
      </c>
      <c r="AI4" s="169" t="e">
        <f>INDEX(tbl_Climate_Lookup[#Data],MATCH(tbl_WaCS_Multi[[Postcode]:[Postcode]],tbl_Climate_Lookup[[Postcode]:[Postcode]],0),MATCH(tbl_WaCS_Multi[[#Headers],[CDD]],tbl_Climate_Lookup[#Headers],0))</f>
        <v>#N/A</v>
      </c>
      <c r="AJ4" s="46" t="e">
        <f>INDEX(tbl_SGE_Warehouse_2022[],MATCH(tbl_WaCS_Multi[[State]:[State]],tbl_SGE_Warehouse_2022[[State]:[State]],0),MATCH(tbl_WaCS_Multi[[#Headers],[SGEe]],tbl_SGE_Warehouse_2022[#Headers],0))</f>
        <v>#N/A</v>
      </c>
      <c r="AK4" s="46" t="e">
        <f>INDEX(tbl_SGE_Warehouse_2022[],MATCH(tbl_WaCS_Multi[[State]:[State]],tbl_SGE_Warehouse_2022[[State]:[State]],0),MATCH(tbl_WaCS_Multi[[#Headers],[SGEg]],tbl_SGE_Warehouse_2022[#Headers],0))</f>
        <v>#N/A</v>
      </c>
      <c r="AL4" s="46" t="e">
        <f>INDEX(tbl_SGE_Warehouse_2022[],MATCH(tbl_WaCS_Multi[[State]:[State]],tbl_SGE_Warehouse_2022[[State]:[State]],0),MATCH(tbl_WaCS_Multi[[#Headers],[SGEl]],tbl_SGE_Warehouse_2022[#Headers],0))</f>
        <v>#N/A</v>
      </c>
      <c r="AM4" s="46" t="e">
        <f>INDEX(tbl_SGE_Warehouse_2022[],MATCH(tbl_WaCS_Multi[[State]:[State]],tbl_SGE_Warehouse_2022[[State]:[State]],0),MATCH(tbl_WaCS_Multi[[#Headers],[SGEd]],tbl_SGE_Warehouse_2022[#Headers],0))</f>
        <v>#N/A</v>
      </c>
      <c r="AN4" s="46" t="e">
        <f>INDEX(tbl_SGE_Warehouse_2022[],MATCH(tbl_WaCS_Multi[[State]:[State]],tbl_SGE_Warehouse_2022[[State]:[State]],0),MATCH(tbl_WaCS_Multi[[#Headers],[SGEe wrt NSW]],tbl_SGE_Warehouse_2022[#Headers],0))</f>
        <v>#N/A</v>
      </c>
      <c r="AO4" s="46" t="e">
        <f>INDEX(tbl_SGE_Warehouse_2022[],MATCH(tbl_WaCS_Multi[[State]:[State]],tbl_SGE_Warehouse_2022[[State]:[State]],0),MATCH(tbl_WaCS_Multi[[#Headers],[SGEg wrt NSW]],tbl_SGE_Warehouse_2022[#Headers],0))</f>
        <v>#N/A</v>
      </c>
      <c r="AP4" s="50">
        <f>INDEX(tbl_Conversion_Factors[[Conversion Factors]:[Conversion Factors]],MATCH(tbl_WaCS_Multi[[#Headers],[CFelec]],tbl_Conversion_Factors[[Reference]:[Reference]],0))</f>
        <v>3.6</v>
      </c>
      <c r="AQ4" s="50">
        <f>INDEX(tbl_Conversion_Factors[[Conversion Factors]:[Conversion Factors]],MATCH(tbl_WaCS_Multi[[#Headers],[CFlpg]],tbl_Conversion_Factors[[Reference]:[Reference]],0))</f>
        <v>25.7</v>
      </c>
      <c r="AR4" s="50">
        <f>INDEX(tbl_Conversion_Factors[[Conversion Factors]:[Conversion Factors]],MATCH(tbl_WaCS_Multi[[#Headers],[CFdiesel]],tbl_Conversion_Factors[[Reference]:[Reference]],0))</f>
        <v>38.6</v>
      </c>
      <c r="AS4" s="45" t="e">
        <f>tbl_WaCS_Multi[[#This Row],[SGEe]]/tbl_WaCS_Multi[[#This Row],[CFelec]]</f>
        <v>#N/A</v>
      </c>
      <c r="AT4" s="45" t="e">
        <f>tbl_WaCS_Multi[[#This Row],[SGEd]]/tbl_WaCS_Multi[[#This Row],[CFdiesel]]</f>
        <v>#N/A</v>
      </c>
      <c r="AU4" s="46">
        <f>IF(SUM(tbl_WaCS_Multi[[#This Row],[Electricity (%)]:[Diesel (%)]])=1,
SUM(tbl_WaCS_Multi[[#This Row],[Electricity (%)]]*tbl_WaCS_Multi[[#This Row],[SGEeMJ]],
tbl_WaCS_Multi[[#This Row],[Gas (%)]]*tbl_WaCS_Multi[[#This Row],[SGEg]],
tbl_WaCS_Multi[[#This Row],[LPG (%)]]*tbl_WaCS_Multi[[#This Row],[SGEl]],
tbl_WaCS_Multi[[#This Row],[Diesel (%)]]*tbl_WaCS_Multi[[#This Row],[SGEdMJ]]),
0)</f>
        <v>0</v>
      </c>
      <c r="AV4" s="46" t="e">
        <f>INDEX(tbl_NGA_Factors_2022[#Data],MATCH(tbl_WaCS_Multi[[State]:[State]],tbl_NGA_Factors_2022[[State]:[State]],0),MATCH(tbl_WaCS_Multi[[#Headers],[SGEe Scopes 1,2&amp;3]],tbl_NGA_Factors_2022[#Headers],0))</f>
        <v>#N/A</v>
      </c>
      <c r="AW4" s="46" t="e">
        <f>INDEX(tbl_NGA_Factors_2022[#Data],MATCH(tbl_WaCS_Multi[[State]:[State]],tbl_NGA_Factors_2022[[State]:[State]],0),MATCH(tbl_WaCS_Multi[[#Headers],[SGEg Scopes 1,2&amp;3]],tbl_NGA_Factors_2022[#Headers],0))</f>
        <v>#N/A</v>
      </c>
      <c r="AX4" s="46" t="e">
        <f>INDEX(tbl_NGA_Factors_2022[#Data],MATCH(tbl_WaCS_Multi[[State]:[State]],tbl_NGA_Factors_2022[[State]:[State]],0),MATCH(tbl_WaCS_Multi[[#Headers],[SGEl Scopes 1,2&amp;3]],tbl_NGA_Factors_2022[#Headers],0))</f>
        <v>#N/A</v>
      </c>
      <c r="AY4" s="46" t="e">
        <f>INDEX(tbl_NGA_Factors_2022[#Data],MATCH(tbl_WaCS_Multi[[State]:[State]],tbl_NGA_Factors_2022[[State]:[State]],0),MATCH(tbl_WaCS_Multi[[#Headers],[SGEd Scopes 1,2&amp;3]],tbl_NGA_Factors_2022[#Headers],0))</f>
        <v>#N/A</v>
      </c>
      <c r="AZ4" s="46" t="e">
        <f>INDEX(tbl_NGA_Factors_2022[#Data],MATCH(tbl_WaCS_Multi[[State]:[State]],tbl_NGA_Factors_2022[[State]:[State]],0),MATCH(tbl_WaCS_Multi[[#Headers],[SGEe Scopes 1&amp;2]],tbl_NGA_Factors_2022[#Headers],0))</f>
        <v>#N/A</v>
      </c>
      <c r="BA4" s="46" t="e">
        <f>INDEX(tbl_NGA_Factors_2022[#Data],MATCH(tbl_WaCS_Multi[[State]:[State]],tbl_NGA_Factors_2022[[State]:[State]],0),MATCH(tbl_WaCS_Multi[[#Headers],[SGEg Scopes 1&amp;2]],tbl_NGA_Factors_2022[#Headers],0))</f>
        <v>#N/A</v>
      </c>
      <c r="BB4" s="46" t="e">
        <f>INDEX(tbl_NGA_Factors_2022[#Data],MATCH(tbl_WaCS_Multi[[State]:[State]],tbl_NGA_Factors_2022[[State]:[State]],0),MATCH(tbl_WaCS_Multi[[#Headers],[SGEl Scopes 1&amp;2]],tbl_NGA_Factors_2022[#Headers],0))</f>
        <v>#N/A</v>
      </c>
      <c r="BC4" s="46" t="e">
        <f>INDEX(tbl_NGA_Factors_2022[#Data],MATCH(tbl_WaCS_Multi[[State]:[State]],tbl_NGA_Factors_2022[[State]:[State]],0),MATCH(tbl_WaCS_Multi[[#Headers],[SGEd Scopes 1&amp;2]],tbl_NGA_Factors_2022[#Headers],0))</f>
        <v>#N/A</v>
      </c>
      <c r="BD4" s="45">
        <f>Warehouses_C_Conditioned_Area*tbl_WaCS_Multi[[#This Row],[Conditioned GLA]]</f>
        <v>0</v>
      </c>
      <c r="BE4" s="45">
        <f>Warehouses_C_Non_Conditioned_Area*tbl_WaCS_Multi[[#This Row],[Non-Conditioned GLA]]</f>
        <v>0</v>
      </c>
      <c r="BF4" s="45" t="e">
        <f>tbl_WaCS_Multi[[#This Row],[FTE]]/tbl_WaCS_Multi[[#This Row],[Total GLA]]</f>
        <v>#DIV/0!</v>
      </c>
      <c r="BG4" s="45">
        <f>1-Warehouse_C_C1_Hours_Intercept+Warehouse_C_C1_Hours_Coefficient*tbl_WaCS_Multi[[#This Row],[Hours]]</f>
        <v>0.32199999999999995</v>
      </c>
      <c r="BH4" s="45" t="e">
        <f>1-Warehouse_C_C2_Non_Refrigerated_FTE_Intercept+Warehouse_C_C2_Non_Refrigerated_FTE_Coefficient*tbl_WaCS_Multi[[#This Row],[FTEstandardized]]</f>
        <v>#DIV/0!</v>
      </c>
      <c r="BI4" s="45">
        <f>1-Warehouse_C_C2_Non_Refrigerated_FTE_Intercept+Warehouse_C_C2_Non_Refrigerated_FTE_Coefficient*(Warehouse_C_K2_K3_Non_Refrigerated_ATR_Intercept+Warehouse_C_K2_K3_Non_Refrigerated_ATR_Coefficient*tbl_WaCS_Multi[[#This Row],[ATR]])</f>
        <v>0.97704316000000002</v>
      </c>
      <c r="BJ4" s="45">
        <f>IF(tbl_WaCS_Multi[[#This Row],[Cold Store]]="No",0,Warehouses_C_Cold_Volume*tbl_WaCS_Multi[[#This Row],[Cold Volume]])</f>
        <v>0</v>
      </c>
      <c r="BK4" s="45">
        <f>IF(tbl_WaCS_Multi[[#This Row],[Cold Store]]="No",0,Warehouses_C_Cool_Volume*tbl_WaCS_Multi[[#This Row],[Non-Conditioned GLA]])</f>
        <v>0</v>
      </c>
      <c r="BL4" s="45" t="e">
        <f>1-Warehouse_C_C2_Refrigerated_FTE_Intercept+Warehouse_C_C2_Refrigerated_FTE_Coefficient*tbl_WaCS_Multi[[#This Row],[FTEstandardized]]</f>
        <v>#DIV/0!</v>
      </c>
      <c r="BM4" s="45">
        <f>1-Warehouse_C_C2_Refrigerated_FTE_Intercept+Warehouse_C_C2_Refrigerated_FTE_Coefficient*(Warehouse_C_K2_K3_Non_Refrigerated_ATR_Intercept+Warehouse_C_K2_K3_Non_Refrigerated_ATR_Coefficient*tbl_WaCS_Multi[[#This Row],[ATR]])</f>
        <v>0.89265417999999996</v>
      </c>
      <c r="BN4" s="45" t="e">
        <f>SUM(Warehouses_C_Conditioned_Area*tbl_WaCS_Multi[[#This Row],[Conditioned GLA]],Warehouses_C_Non_Conditioned_Area*tbl_WaCS_Multi[[#This Row],[Non-Conditioned GLA]])*tbl_WaCS_Multi[[#This Row],[C1]]*tbl_WaCS_Multi[[#This Row],[C2]]</f>
        <v>#DIV/0!</v>
      </c>
      <c r="BO4" s="45" t="e">
        <f>IF(tbl_WaCS_Multi[[#This Row],[Cold Store]]="No",0,(Warehouses_C_Cold_Volume*tbl_WaCS_Multi[[#This Row],[Cold Volume]]+Warehouses_C_Cool_Volume*tbl_WaCS_Multi[[#This Row],[Cool Volume]])*tbl_WaCS_Multi[[#This Row],[C3]])</f>
        <v>#DIV/0!</v>
      </c>
      <c r="BP4" s="45" t="e">
        <f>SUM(tbl_WaCS_Multi[[#This Row],[(45.928CG+22.349NCG)C1C2]],tbl_WaCS_Multi[[#This Row],[(32.537CDV+24.854CLV)C3]])</f>
        <v>#DIV/0!</v>
      </c>
      <c r="BQ4" s="45" t="e">
        <f>(Warehouse_C_Adjustment_Elec*tbl_WaCS_Multi[[#This Row],[Bori1FTE]]*tbl_WaCS_Multi[[#This Row],[SGEe wrt NSW]])+(Warehouse_C_Adjustment_Gas*tbl_WaCS_Multi[[#This Row],[Bori1FTE]]*tbl_WaCS_Multi[[#This Row],[SGEg wrt NSW]])</f>
        <v>#DIV/0!</v>
      </c>
      <c r="BR4" s="45">
        <f>SUM(Warehouses_C_Conditioned_Area*tbl_WaCS_Multi[[#This Row],[Conditioned GLA]],Warehouses_C_Non_Conditioned_Area*tbl_WaCS_Multi[[#This Row],[Non-Conditioned GLA]])*tbl_WaCS_Multi[[#This Row],[C1]]*tbl_WaCS_Multi[[#This Row],[K2]]</f>
        <v>0</v>
      </c>
      <c r="BS4" s="45">
        <f>IF(tbl_WaCS_Multi[[#This Row],[Cold Store]]="No",0,(Warehouses_C_Cold_Volume*tbl_WaCS_Multi[[#This Row],[Cold Volume]]+Warehouses_C_Cool_Volume*tbl_WaCS_Multi[[#This Row],[Cool Volume]])*tbl_WaCS_Multi[[#This Row],[K3]])</f>
        <v>0</v>
      </c>
      <c r="BT4" s="45">
        <f>SUM(tbl_WaCS_Multi[[#This Row],[(45.928CG+22.349NCG)C1K2]],tbl_WaCS_Multi[[#This Row],[(32.537CDV+24.854CLV)K3]])</f>
        <v>0</v>
      </c>
      <c r="BU4" s="45" t="e">
        <f>(Warehouse_C_Adjustment_Elec*tbl_WaCS_Multi[[#This Row],[Bori2ATR]]*tbl_WaCS_Multi[[#This Row],[SGEe wrt NSW]])+(Warehouse_C_Adjustment_Gas*tbl_WaCS_Multi[[#This Row],[Bori2ATR]]*tbl_WaCS_Multi[[#This Row],[SGEg wrt NSW]])</f>
        <v>#N/A</v>
      </c>
      <c r="BV4" s="45" t="e">
        <f>IF(tbl_WaCS_Multi[[#This Row],[FTRE of ATR]]="FTE",tbl_WaCS_Multi[[#This Row],[Badjusted1FTE]],
IF(tbl_WaCS_Multi[[#This Row],[FTRE of ATR]]="ATR",tbl_WaCS_Multi[[#This Row],[Badjusted2ATR]],
MAX(tbl_WaCS_Multi[[#This Row],[Badjusted1FTE]],tbl_WaCS_Multi[[#This Row],[Badjusted2ATR]])))</f>
        <v>#DIV/0!</v>
      </c>
      <c r="BW4" s="36">
        <f>((tbl_WaCS_Multi[[#This Row],[Target Energy]]-7)/-3.75)*0.879</f>
        <v>1.6408</v>
      </c>
      <c r="BX4" s="36" t="e">
        <f>tbl_WaCS_Multi[[#This Row],[Predicted Emissions]]*tbl_WaCS_Multi[[#This Row],[Predicted Emissions Ratio]]</f>
        <v>#DIV/0!</v>
      </c>
      <c r="BY4" s="44" t="e">
        <f>tbl_WaCS_Multi[[#This Row],[Target Max GE]]</f>
        <v>#DIV/0!</v>
      </c>
      <c r="BZ4" s="44" t="e">
        <f>tbl_WaCS_Multi[[#This Row],[Target Max CO2]]/tbl_WaCS_Multi[[#This Row],[EffGHGMJ]]</f>
        <v>#DIV/0!</v>
      </c>
      <c r="CA4" s="44" t="e">
        <f>tbl_WaCS_Multi[[#This Row],[Target Max Energy (MJ)]]/tbl_WaCS_Multi[[#This Row],[Non-Conditioned GLA]]</f>
        <v>#DIV/0!</v>
      </c>
      <c r="CB4" s="44" t="e">
        <f>ROUNDDOWN(tbl_WaCS_Multi[[#This Row],[Target Max Energy (MJ)]]*tbl_WaCS_Multi[[#This Row],[Electricity (%)]]/tbl_WaCS_Multi[[#This Row],[CFelec]],0)</f>
        <v>#DIV/0!</v>
      </c>
      <c r="CC4" s="44" t="e">
        <f>ROUNDDOWN(tbl_WaCS_Multi[[#This Row],[Target Max Energy (MJ)]]*tbl_WaCS_Multi[[#This Row],[Gas (%)]],0)</f>
        <v>#DIV/0!</v>
      </c>
      <c r="CD4" s="44" t="e">
        <f>ROUNDDOWN(tbl_WaCS_Multi[[#This Row],[Target Max Energy (MJ)]]*tbl_WaCS_Multi[[#This Row],[LPG (%)]]/tbl_WaCS_Multi[[#This Row],[CFlpg]],0)</f>
        <v>#DIV/0!</v>
      </c>
      <c r="CE4" s="44" t="e">
        <f>ROUNDDOWN(tbl_WaCS_Multi[[#This Row],[Target Max Energy (MJ)]]*tbl_WaCS_Multi[[#This Row],[Diesel (%)]]/tbl_WaCS_Multi[[#This Row],[CFdiesel]],0)</f>
        <v>#DIV/0!</v>
      </c>
      <c r="CF4" s="44" t="e">
        <f>SUM(tbl_WaCS_Multi[[#This Row],[Target Max Elec (kWh)]]*tbl_WaCS_Multi[[#This Row],[SGEe Scopes 1,2&amp;3]],
tbl_WaCS_Multi[[#This Row],[Target Max Gas (MJ)]]*tbl_WaCS_Multi[[#This Row],[SGEg Scopes 1,2&amp;3]],
tbl_WaCS_Multi[[#This Row],[Target Max LPG (L)]]*tbl_WaCS_Multi[[#This Row],[SGEl Scopes 1,2&amp;3]],
tbl_WaCS_Multi[[#This Row],[Target Max Diesel (L)]]*tbl_WaCS_Multi[[#This Row],[SGEd Scopes 1,2&amp;3]])</f>
        <v>#DIV/0!</v>
      </c>
      <c r="CG4" s="44" t="e">
        <f>SUM(tbl_WaCS_Multi[[#This Row],[Target Max Elec (kWh)]]*tbl_WaCS_Multi[[#This Row],[SGEe Scopes 1&amp;2]],
tbl_WaCS_Multi[[#This Row],[Target Max Gas (MJ)]]*tbl_WaCS_Multi[[#This Row],[SGEg Scopes 1&amp;2]],
tbl_WaCS_Multi[[#This Row],[Target Max LPG (L)]]*tbl_WaCS_Multi[[#This Row],[SGEl Scopes 1&amp;2]],
tbl_WaCS_Multi[[#This Row],[Target Max Diesel (L)]]*tbl_WaCS_Multi[[#This Row],[SGEd Scopes 1&amp;2]])</f>
        <v>#DIV/0!</v>
      </c>
      <c r="CH4" s="36">
        <f>((LEFT(tbl_WaCS_Multi[[#Headers],[6.0* Max Predicted Emissions Ratio]],3)-7)/-3.75)*0.879</f>
        <v>0.2344</v>
      </c>
      <c r="CI4" s="36">
        <f>((LEFT(tbl_WaCS_Multi[[#Headers],[5.5* Max Predicted Emissions Ratio]],3)-7)/-3.75)*0.879</f>
        <v>0.35160000000000002</v>
      </c>
      <c r="CJ4" s="36">
        <f>((LEFT(tbl_WaCS_Multi[[#Headers],[5.0* Max Predicted Emissions Ratio]],3)-7)/-3.75)*0.879</f>
        <v>0.46879999999999999</v>
      </c>
      <c r="CK4" s="36">
        <f>((LEFT(tbl_WaCS_Multi[[#Headers],[4.5* Max Predicted Emissions Ratio]],3)-7)/-3.75)*0.879</f>
        <v>0.58599999999999997</v>
      </c>
      <c r="CL4" s="36">
        <f>((LEFT(tbl_WaCS_Multi[[#Headers],[4.0* Max Predicted Emissions Ratio]],3)-7)/-3.75)*0.879</f>
        <v>0.70320000000000005</v>
      </c>
      <c r="CM4" s="36">
        <f>((LEFT(tbl_WaCS_Multi[[#Headers],[3.5* Max Predicted Emissions Ratio]],3)-7)/-3.75)*0.879</f>
        <v>0.82040000000000002</v>
      </c>
      <c r="CN4" s="36">
        <f>((LEFT(tbl_WaCS_Multi[[#Headers],[3.0* Max Predicted Emissions Ratio]],3)-7)/-3.75)*0.879</f>
        <v>0.93759999999999999</v>
      </c>
      <c r="CO4" s="36">
        <f>((LEFT(tbl_WaCS_Multi[[#Headers],[2.5* Max Predicted Emissions Ratio]],3)-7)/-3.75)*0.879</f>
        <v>1.0548</v>
      </c>
      <c r="CP4" s="36">
        <f>((LEFT(tbl_WaCS_Multi[[#Headers],[2.0* Max Predicted Emissions Ratio]],3)-7)/-3.75)*0.879</f>
        <v>1.1719999999999999</v>
      </c>
      <c r="CQ4" s="36">
        <f>((LEFT(tbl_WaCS_Multi[[#Headers],[1.5* Max Predicted Emissions Ratio]],3)-7)/-3.75)*0.879</f>
        <v>1.2891999999999999</v>
      </c>
      <c r="CR4" s="36">
        <f>((LEFT(tbl_WaCS_Multi[[#Headers],[1.0* Max Predicted Emissions Ratio]],3)-7)/-3.75)*0.879</f>
        <v>1.4064000000000001</v>
      </c>
      <c r="CS4" s="36">
        <f>((LEFT(tbl_WaCS_Multi[[#Headers],[0.0* Max Predicted Emissions Ratio]],3)-7)/-3.75)*0.879</f>
        <v>1.6408</v>
      </c>
      <c r="CT4" s="44" t="e">
        <f>tbl_WaCS_Multi[[Predicted Emissions]:[Predicted Emissions]]*tbl_WaCS_Multi[[#This Row],[6.0* Max Predicted Emissions Ratio]]</f>
        <v>#DIV/0!</v>
      </c>
      <c r="CU4" s="44" t="e">
        <f>tbl_WaCS_Multi[[Predicted Emissions]:[Predicted Emissions]]*tbl_WaCS_Multi[[#This Row],[5.5* Max Predicted Emissions Ratio]]</f>
        <v>#DIV/0!</v>
      </c>
      <c r="CV4" s="44" t="e">
        <f>tbl_WaCS_Multi[[Predicted Emissions]:[Predicted Emissions]]*tbl_WaCS_Multi[[#This Row],[5.0* Max Predicted Emissions Ratio]]</f>
        <v>#DIV/0!</v>
      </c>
      <c r="CW4" s="44" t="e">
        <f>tbl_WaCS_Multi[[Predicted Emissions]:[Predicted Emissions]]*tbl_WaCS_Multi[[#This Row],[4.5* Max Predicted Emissions Ratio]]</f>
        <v>#DIV/0!</v>
      </c>
      <c r="CX4" s="44" t="e">
        <f>tbl_WaCS_Multi[[Predicted Emissions]:[Predicted Emissions]]*tbl_WaCS_Multi[[#This Row],[4.0* Max Predicted Emissions Ratio]]</f>
        <v>#DIV/0!</v>
      </c>
      <c r="CY4" s="44" t="e">
        <f>tbl_WaCS_Multi[[Predicted Emissions]:[Predicted Emissions]]*tbl_WaCS_Multi[[#This Row],[3.5* Max Predicted Emissions Ratio]]</f>
        <v>#DIV/0!</v>
      </c>
      <c r="CZ4" s="44" t="e">
        <f>tbl_WaCS_Multi[[Predicted Emissions]:[Predicted Emissions]]*tbl_WaCS_Multi[[#This Row],[3.0* Max Predicted Emissions Ratio]]</f>
        <v>#DIV/0!</v>
      </c>
      <c r="DA4" s="44" t="e">
        <f>tbl_WaCS_Multi[[Predicted Emissions]:[Predicted Emissions]]*tbl_WaCS_Multi[[#This Row],[2.5* Max Predicted Emissions Ratio]]</f>
        <v>#DIV/0!</v>
      </c>
      <c r="DB4" s="44" t="e">
        <f>tbl_WaCS_Multi[[Predicted Emissions]:[Predicted Emissions]]*tbl_WaCS_Multi[[#This Row],[2.0* Max Predicted Emissions Ratio]]</f>
        <v>#DIV/0!</v>
      </c>
      <c r="DC4" s="44" t="e">
        <f>tbl_WaCS_Multi[[Predicted Emissions]:[Predicted Emissions]]*tbl_WaCS_Multi[[#This Row],[1.5* Max Predicted Emissions Ratio]]</f>
        <v>#DIV/0!</v>
      </c>
      <c r="DD4" s="44" t="e">
        <f>tbl_WaCS_Multi[[Predicted Emissions]:[Predicted Emissions]]*tbl_WaCS_Multi[[#This Row],[1.0* Max Predicted Emissions Ratio]]</f>
        <v>#DIV/0!</v>
      </c>
      <c r="DE4" s="44" t="e">
        <f>tbl_WaCS_Multi[[Predicted Emissions]:[Predicted Emissions]]*tbl_WaCS_Multi[[#This Row],[0.0* Max Predicted Emissions Ratio]]</f>
        <v>#DIV/0!</v>
      </c>
      <c r="DF4" s="44" t="e">
        <f>tbl_WaCS_Multi[[#This Row],[6.0* Max CO2]]/tbl_WaCS_Multi[[EffGHGMJ]:[EffGHGMJ]]</f>
        <v>#DIV/0!</v>
      </c>
      <c r="DG4" s="44" t="e">
        <f>tbl_WaCS_Multi[[#This Row],[5.5* Max CO2]]/tbl_WaCS_Multi[[EffGHGMJ]:[EffGHGMJ]]</f>
        <v>#DIV/0!</v>
      </c>
      <c r="DH4" s="44" t="e">
        <f>tbl_WaCS_Multi[[#This Row],[5.0* Max CO2]]/tbl_WaCS_Multi[[EffGHGMJ]:[EffGHGMJ]]</f>
        <v>#DIV/0!</v>
      </c>
      <c r="DI4" s="44" t="e">
        <f>tbl_WaCS_Multi[[#This Row],[4.5* Max CO2]]/tbl_WaCS_Multi[[EffGHGMJ]:[EffGHGMJ]]</f>
        <v>#DIV/0!</v>
      </c>
      <c r="DJ4" s="44" t="e">
        <f>tbl_WaCS_Multi[[#This Row],[4.0* Max CO2]]/tbl_WaCS_Multi[[EffGHGMJ]:[EffGHGMJ]]</f>
        <v>#DIV/0!</v>
      </c>
      <c r="DK4" s="44" t="e">
        <f>tbl_WaCS_Multi[[#This Row],[3.5* Max CO2]]/tbl_WaCS_Multi[[EffGHGMJ]:[EffGHGMJ]]</f>
        <v>#DIV/0!</v>
      </c>
      <c r="DL4" s="44" t="e">
        <f>tbl_WaCS_Multi[[#This Row],[3.0* Max CO2]]/tbl_WaCS_Multi[[EffGHGMJ]:[EffGHGMJ]]</f>
        <v>#DIV/0!</v>
      </c>
      <c r="DM4" s="44" t="e">
        <f>tbl_WaCS_Multi[[#This Row],[2.5* Max CO2]]/tbl_WaCS_Multi[[EffGHGMJ]:[EffGHGMJ]]</f>
        <v>#DIV/0!</v>
      </c>
      <c r="DN4" s="44" t="e">
        <f>tbl_WaCS_Multi[[#This Row],[2.0* Max CO2]]/tbl_WaCS_Multi[[EffGHGMJ]:[EffGHGMJ]]</f>
        <v>#DIV/0!</v>
      </c>
      <c r="DO4" s="44" t="e">
        <f>tbl_WaCS_Multi[[#This Row],[1.5* Max CO2]]/tbl_WaCS_Multi[[EffGHGMJ]:[EffGHGMJ]]</f>
        <v>#DIV/0!</v>
      </c>
      <c r="DP4" s="44" t="e">
        <f>tbl_WaCS_Multi[[#This Row],[1.0* Max CO2]]/tbl_WaCS_Multi[[EffGHGMJ]:[EffGHGMJ]]</f>
        <v>#DIV/0!</v>
      </c>
      <c r="DQ4" s="44" t="e">
        <f>tbl_WaCS_Multi[[#This Row],[0.0* Max CO2]]/tbl_WaCS_Multi[[EffGHGMJ]:[EffGHGMJ]]</f>
        <v>#DIV/0!</v>
      </c>
      <c r="DR4" s="44" t="e">
        <f>ROUNDDOWN(tbl_WaCS_Multi[[#This Row],[6.0* Max Energy (MJ)]]*tbl_WaCS_Multi[[Electricity (%)]:[Electricity (%)]]/tbl_WaCS_Multi[[CFelec]:[CFelec]],0)</f>
        <v>#DIV/0!</v>
      </c>
      <c r="DS4" s="44" t="e">
        <f>ROUNDDOWN(tbl_WaCS_Multi[[#This Row],[5.5* Max Energy (MJ)]]*tbl_WaCS_Multi[[Electricity (%)]:[Electricity (%)]]/tbl_WaCS_Multi[[CFelec]:[CFelec]],0)</f>
        <v>#DIV/0!</v>
      </c>
      <c r="DT4" s="44" t="e">
        <f>ROUNDDOWN(tbl_WaCS_Multi[[#This Row],[5.0* Max Energy (MJ)]]*tbl_WaCS_Multi[[Electricity (%)]:[Electricity (%)]]/tbl_WaCS_Multi[[CFelec]:[CFelec]],0)</f>
        <v>#DIV/0!</v>
      </c>
      <c r="DU4" s="44" t="e">
        <f>ROUNDDOWN(tbl_WaCS_Multi[[#This Row],[4.5* Max Energy (MJ)]]*tbl_WaCS_Multi[[Electricity (%)]:[Electricity (%)]]/tbl_WaCS_Multi[[CFelec]:[CFelec]],0)</f>
        <v>#DIV/0!</v>
      </c>
      <c r="DV4" s="44" t="e">
        <f>ROUNDDOWN(tbl_WaCS_Multi[[#This Row],[4.0* Max Energy (MJ)]]*tbl_WaCS_Multi[[Electricity (%)]:[Electricity (%)]]/tbl_WaCS_Multi[[CFelec]:[CFelec]],0)</f>
        <v>#DIV/0!</v>
      </c>
      <c r="DW4" s="44" t="e">
        <f>ROUNDDOWN(tbl_WaCS_Multi[[#This Row],[3.5* Max Energy (MJ)]]*tbl_WaCS_Multi[[Electricity (%)]:[Electricity (%)]]/tbl_WaCS_Multi[[CFelec]:[CFelec]],0)</f>
        <v>#DIV/0!</v>
      </c>
      <c r="DX4" s="44" t="e">
        <f>ROUNDDOWN(tbl_WaCS_Multi[[#This Row],[3.0* Max Energy (MJ)]]*tbl_WaCS_Multi[[Electricity (%)]:[Electricity (%)]]/tbl_WaCS_Multi[[CFelec]:[CFelec]],0)</f>
        <v>#DIV/0!</v>
      </c>
      <c r="DY4" s="44" t="e">
        <f>ROUNDDOWN(tbl_WaCS_Multi[[#This Row],[2.5* Max Energy (MJ)]]*tbl_WaCS_Multi[[Electricity (%)]:[Electricity (%)]]/tbl_WaCS_Multi[[CFelec]:[CFelec]],0)</f>
        <v>#DIV/0!</v>
      </c>
      <c r="DZ4" s="44" t="e">
        <f>ROUNDDOWN(tbl_WaCS_Multi[[#This Row],[2.0* Max Energy (MJ)]]*tbl_WaCS_Multi[[Electricity (%)]:[Electricity (%)]]/tbl_WaCS_Multi[[CFelec]:[CFelec]],0)</f>
        <v>#DIV/0!</v>
      </c>
      <c r="EA4" s="44" t="e">
        <f>ROUNDDOWN(tbl_WaCS_Multi[[#This Row],[1.5* Max Energy (MJ)]]*tbl_WaCS_Multi[[Electricity (%)]:[Electricity (%)]]/tbl_WaCS_Multi[[CFelec]:[CFelec]],0)</f>
        <v>#DIV/0!</v>
      </c>
      <c r="EB4" s="44" t="e">
        <f>ROUNDDOWN(tbl_WaCS_Multi[[#This Row],[1.0* Max Energy (MJ)]]*tbl_WaCS_Multi[[Electricity (%)]:[Electricity (%)]]/tbl_WaCS_Multi[[CFelec]:[CFelec]],0)</f>
        <v>#DIV/0!</v>
      </c>
      <c r="EC4" s="44" t="e">
        <f>ROUNDDOWN(tbl_WaCS_Multi[[#This Row],[0.0* Max Energy (MJ)]]*tbl_WaCS_Multi[[Electricity (%)]:[Electricity (%)]]/tbl_WaCS_Multi[[CFelec]:[CFelec]],0)</f>
        <v>#DIV/0!</v>
      </c>
      <c r="ED4" s="44" t="e">
        <f>ROUNDDOWN(tbl_WaCS_Multi[[#This Row],[6.0* Max Energy (MJ)]]*tbl_WaCS_Multi[[Gas (%)]:[Gas (%)]],0)</f>
        <v>#DIV/0!</v>
      </c>
      <c r="EE4" s="44" t="e">
        <f>ROUNDDOWN(tbl_WaCS_Multi[[#This Row],[5.5* Max Energy (MJ)]]*tbl_WaCS_Multi[[Gas (%)]:[Gas (%)]],0)</f>
        <v>#DIV/0!</v>
      </c>
      <c r="EF4" s="44" t="e">
        <f>ROUNDDOWN(tbl_WaCS_Multi[[#This Row],[5.0* Max Energy (MJ)]]*tbl_WaCS_Multi[[Gas (%)]:[Gas (%)]],0)</f>
        <v>#DIV/0!</v>
      </c>
      <c r="EG4" s="44" t="e">
        <f>ROUNDDOWN(tbl_WaCS_Multi[[#This Row],[4.5* Max Energy (MJ)]]*tbl_WaCS_Multi[[Gas (%)]:[Gas (%)]],0)</f>
        <v>#DIV/0!</v>
      </c>
      <c r="EH4" s="44" t="e">
        <f>ROUNDDOWN(tbl_WaCS_Multi[[#This Row],[4.0* Max Energy (MJ)]]*tbl_WaCS_Multi[[Gas (%)]:[Gas (%)]],0)</f>
        <v>#DIV/0!</v>
      </c>
      <c r="EI4" s="44" t="e">
        <f>ROUNDDOWN(tbl_WaCS_Multi[[#This Row],[3.5* Max Energy (MJ)]]*tbl_WaCS_Multi[[Gas (%)]:[Gas (%)]],0)</f>
        <v>#DIV/0!</v>
      </c>
      <c r="EJ4" s="44" t="e">
        <f>ROUNDDOWN(tbl_WaCS_Multi[[#This Row],[3.0* Max Energy (MJ)]]*tbl_WaCS_Multi[[Gas (%)]:[Gas (%)]],0)</f>
        <v>#DIV/0!</v>
      </c>
      <c r="EK4" s="44" t="e">
        <f>ROUNDDOWN(tbl_WaCS_Multi[[#This Row],[2.5* Max Energy (MJ)]]*tbl_WaCS_Multi[[Gas (%)]:[Gas (%)]],0)</f>
        <v>#DIV/0!</v>
      </c>
      <c r="EL4" s="44" t="e">
        <f>ROUNDDOWN(tbl_WaCS_Multi[[#This Row],[2.0* Max Energy (MJ)]]*tbl_WaCS_Multi[[Gas (%)]:[Gas (%)]],0)</f>
        <v>#DIV/0!</v>
      </c>
      <c r="EM4" s="44" t="e">
        <f>ROUNDDOWN(tbl_WaCS_Multi[[#This Row],[1.5* Max Energy (MJ)]]*tbl_WaCS_Multi[[Gas (%)]:[Gas (%)]],0)</f>
        <v>#DIV/0!</v>
      </c>
      <c r="EN4" s="44" t="e">
        <f>ROUNDDOWN(tbl_WaCS_Multi[[#This Row],[1.0* Max Energy (MJ)]]*tbl_WaCS_Multi[[Gas (%)]:[Gas (%)]],0)</f>
        <v>#DIV/0!</v>
      </c>
      <c r="EO4" s="44" t="e">
        <f>ROUNDDOWN(tbl_WaCS_Multi[[#This Row],[0.0* Max Energy (MJ)]]*tbl_WaCS_Multi[[Gas (%)]:[Gas (%)]],0)</f>
        <v>#DIV/0!</v>
      </c>
      <c r="EP4" s="44" t="e">
        <f>ROUNDDOWN(tbl_WaCS_Multi[[#This Row],[6.0* Max Energy (MJ)]]*tbl_WaCS_Multi[[LPG (%)]:[LPG (%)]]/tbl_WaCS_Multi[[CFlpg]:[CFlpg]],0)</f>
        <v>#DIV/0!</v>
      </c>
      <c r="EQ4" s="44" t="e">
        <f>ROUNDDOWN(tbl_WaCS_Multi[[#This Row],[5.5* Max Energy (MJ)]]*tbl_WaCS_Multi[[LPG (%)]:[LPG (%)]]/tbl_WaCS_Multi[[CFlpg]:[CFlpg]],0)</f>
        <v>#DIV/0!</v>
      </c>
      <c r="ER4" s="44" t="e">
        <f>ROUNDDOWN(tbl_WaCS_Multi[[#This Row],[5.0* Max Energy (MJ)]]*tbl_WaCS_Multi[[LPG (%)]:[LPG (%)]]/tbl_WaCS_Multi[[CFlpg]:[CFlpg]],0)</f>
        <v>#DIV/0!</v>
      </c>
      <c r="ES4" s="44" t="e">
        <f>ROUNDDOWN(tbl_WaCS_Multi[[#This Row],[4.5* Max Energy (MJ)]]*tbl_WaCS_Multi[[LPG (%)]:[LPG (%)]]/tbl_WaCS_Multi[[CFlpg]:[CFlpg]],0)</f>
        <v>#DIV/0!</v>
      </c>
      <c r="ET4" s="44" t="e">
        <f>ROUNDDOWN(tbl_WaCS_Multi[[#This Row],[4.0* Max Energy (MJ)]]*tbl_WaCS_Multi[[LPG (%)]:[LPG (%)]]/tbl_WaCS_Multi[[CFlpg]:[CFlpg]],0)</f>
        <v>#DIV/0!</v>
      </c>
      <c r="EU4" s="44" t="e">
        <f>ROUNDDOWN(tbl_WaCS_Multi[[#This Row],[3.5* Max Energy (MJ)]]*tbl_WaCS_Multi[[LPG (%)]:[LPG (%)]]/tbl_WaCS_Multi[[CFlpg]:[CFlpg]],0)</f>
        <v>#DIV/0!</v>
      </c>
      <c r="EV4" s="44" t="e">
        <f>ROUNDDOWN(tbl_WaCS_Multi[[#This Row],[3.0* Max Energy (MJ)]]*tbl_WaCS_Multi[[LPG (%)]:[LPG (%)]]/tbl_WaCS_Multi[[CFlpg]:[CFlpg]],0)</f>
        <v>#DIV/0!</v>
      </c>
      <c r="EW4" s="44" t="e">
        <f>ROUNDDOWN(tbl_WaCS_Multi[[#This Row],[2.5* Max Energy (MJ)]]*tbl_WaCS_Multi[[LPG (%)]:[LPG (%)]]/tbl_WaCS_Multi[[CFlpg]:[CFlpg]],0)</f>
        <v>#DIV/0!</v>
      </c>
      <c r="EX4" s="44" t="e">
        <f>ROUNDDOWN(tbl_WaCS_Multi[[#This Row],[2.0* Max Energy (MJ)]]*tbl_WaCS_Multi[[LPG (%)]:[LPG (%)]]/tbl_WaCS_Multi[[CFlpg]:[CFlpg]],0)</f>
        <v>#DIV/0!</v>
      </c>
      <c r="EY4" s="44" t="e">
        <f>ROUNDDOWN(tbl_WaCS_Multi[[#This Row],[1.5* Max Energy (MJ)]]*tbl_WaCS_Multi[[LPG (%)]:[LPG (%)]]/tbl_WaCS_Multi[[CFlpg]:[CFlpg]],0)</f>
        <v>#DIV/0!</v>
      </c>
      <c r="EZ4" s="44" t="e">
        <f>ROUNDDOWN(tbl_WaCS_Multi[[#This Row],[1.0* Max Energy (MJ)]]*tbl_WaCS_Multi[[LPG (%)]:[LPG (%)]]/tbl_WaCS_Multi[[CFlpg]:[CFlpg]],0)</f>
        <v>#DIV/0!</v>
      </c>
      <c r="FA4" s="44" t="e">
        <f>ROUNDDOWN(tbl_WaCS_Multi[[#This Row],[0.0* Max Energy (MJ)]]*tbl_WaCS_Multi[[LPG (%)]:[LPG (%)]]/tbl_WaCS_Multi[[CFlpg]:[CFlpg]],0)</f>
        <v>#DIV/0!</v>
      </c>
      <c r="FB4" s="44" t="e">
        <f>ROUNDDOWN(tbl_WaCS_Multi[[#This Row],[6.0* Max Energy (MJ)]]*tbl_WaCS_Multi[[Diesel (%)]:[Diesel (%)]]/tbl_WaCS_Multi[[CFdiesel]:[CFdiesel]],0)</f>
        <v>#DIV/0!</v>
      </c>
      <c r="FC4" s="44" t="e">
        <f>ROUNDDOWN(tbl_WaCS_Multi[[#This Row],[5.5* Max Energy (MJ)]]*tbl_WaCS_Multi[[Diesel (%)]:[Diesel (%)]]/tbl_WaCS_Multi[[CFdiesel]:[CFdiesel]],0)</f>
        <v>#DIV/0!</v>
      </c>
      <c r="FD4" s="44" t="e">
        <f>ROUNDDOWN(tbl_WaCS_Multi[[#This Row],[5.0* Max Energy (MJ)]]*tbl_WaCS_Multi[[Diesel (%)]:[Diesel (%)]]/tbl_WaCS_Multi[[CFdiesel]:[CFdiesel]],0)</f>
        <v>#DIV/0!</v>
      </c>
      <c r="FE4" s="44" t="e">
        <f>ROUNDDOWN(tbl_WaCS_Multi[[#This Row],[4.5* Max Energy (MJ)]]*tbl_WaCS_Multi[[Diesel (%)]:[Diesel (%)]]/tbl_WaCS_Multi[[CFdiesel]:[CFdiesel]],0)</f>
        <v>#DIV/0!</v>
      </c>
      <c r="FF4" s="44" t="e">
        <f>ROUNDDOWN(tbl_WaCS_Multi[[#This Row],[4.0* Max Energy (MJ)]]*tbl_WaCS_Multi[[Diesel (%)]:[Diesel (%)]]/tbl_WaCS_Multi[[CFdiesel]:[CFdiesel]],0)</f>
        <v>#DIV/0!</v>
      </c>
      <c r="FG4" s="44" t="e">
        <f>ROUNDDOWN(tbl_WaCS_Multi[[#This Row],[3.5* Max Energy (MJ)]]*tbl_WaCS_Multi[[Diesel (%)]:[Diesel (%)]]/tbl_WaCS_Multi[[CFdiesel]:[CFdiesel]],0)</f>
        <v>#DIV/0!</v>
      </c>
      <c r="FH4" s="44" t="e">
        <f>ROUNDDOWN(tbl_WaCS_Multi[[#This Row],[3.0* Max Energy (MJ)]]*tbl_WaCS_Multi[[Diesel (%)]:[Diesel (%)]]/tbl_WaCS_Multi[[CFdiesel]:[CFdiesel]],0)</f>
        <v>#DIV/0!</v>
      </c>
      <c r="FI4" s="44" t="e">
        <f>ROUNDDOWN(tbl_WaCS_Multi[[#This Row],[2.5* Max Energy (MJ)]]*tbl_WaCS_Multi[[Diesel (%)]:[Diesel (%)]]/tbl_WaCS_Multi[[CFdiesel]:[CFdiesel]],0)</f>
        <v>#DIV/0!</v>
      </c>
      <c r="FJ4" s="44" t="e">
        <f>ROUNDDOWN(tbl_WaCS_Multi[[#This Row],[2.0* Max Energy (MJ)]]*tbl_WaCS_Multi[[Diesel (%)]:[Diesel (%)]]/tbl_WaCS_Multi[[CFdiesel]:[CFdiesel]],0)</f>
        <v>#DIV/0!</v>
      </c>
      <c r="FK4" s="44" t="e">
        <f>ROUNDDOWN(tbl_WaCS_Multi[[#This Row],[1.5* Max Energy (MJ)]]*tbl_WaCS_Multi[[Diesel (%)]:[Diesel (%)]]/tbl_WaCS_Multi[[CFdiesel]:[CFdiesel]],0)</f>
        <v>#DIV/0!</v>
      </c>
      <c r="FL4" s="44" t="e">
        <f>ROUNDDOWN(tbl_WaCS_Multi[[#This Row],[1.0* Max Energy (MJ)]]*tbl_WaCS_Multi[[Diesel (%)]:[Diesel (%)]]/tbl_WaCS_Multi[[CFdiesel]:[CFdiesel]],0)</f>
        <v>#DIV/0!</v>
      </c>
      <c r="FM4" s="44" t="e">
        <f>ROUNDDOWN(tbl_WaCS_Multi[[#This Row],[0.0* Max Energy (MJ)]]*tbl_WaCS_Multi[[Diesel (%)]:[Diesel (%)]]/tbl_WaCS_Multi[[CFdiesel]:[CFdiesel]],0)</f>
        <v>#DIV/0!</v>
      </c>
      <c r="FN4" s="44" t="e">
        <f>SUM(tbl_WaCS_Multi[[#This Row],[Electricity]]*tbl_WaCS_Multi[[#This Row],[SGEe Scopes 1,2&amp;3]],
tbl_WaCS_Multi[[#This Row],[Gas]]*tbl_WaCS_Multi[[#This Row],[SGEg Scopes 1,2&amp;3]],
tbl_WaCS_Multi[[#This Row],[LPG]]*tbl_WaCS_Multi[[#This Row],[SGEl Scopes 1,2&amp;3]],
tbl_WaCS_Multi[[#This Row],[Diesel]]*tbl_WaCS_Multi[[#This Row],[SGEd Scopes 1,2&amp;3]])</f>
        <v>#N/A</v>
      </c>
      <c r="FO4" s="44" t="e">
        <f>SUM(tbl_WaCS_Multi[[#This Row],[Electricity]]*tbl_WaCS_Multi[[#This Row],[SGEe Scopes 1&amp;2]],
tbl_WaCS_Multi[[#This Row],[Gas]]*tbl_WaCS_Multi[[#This Row],[SGEg Scopes 1&amp;2]],
tbl_WaCS_Multi[[#This Row],[LPG]]*tbl_WaCS_Multi[[#This Row],[SGEl Scopes 1&amp;2]],
tbl_WaCS_Multi[[#This Row],[Diesel]]*tbl_WaCS_Multi[[#This Row],[SGEd Scopes 1&amp;2]])</f>
        <v>#N/A</v>
      </c>
      <c r="FP4" s="45" t="e">
        <f>MAX(MIN(ROUNDDOWN(tbl_WaCS_Multi[[#This Row],[Energy Star Decimal]]*2,0)/2,6),0)</f>
        <v>#N/A</v>
      </c>
      <c r="FQ4" s="45" t="e">
        <f>7-3.75*tbl_WaCS_Multi[[#This Row],[Actual/Predicted Emissions]]/0.879</f>
        <v>#N/A</v>
      </c>
      <c r="FR4" s="45" t="e">
        <f>tbl_WaCS_Multi[[#This Row],[Actual Emissions]]/tbl_WaCS_Multi[[#This Row],[Predicted Emissions]]</f>
        <v>#N/A</v>
      </c>
      <c r="FS4" s="45" t="e">
        <f>SUM(tbl_WaCS_Multi[[#This Row],[Electricity]]*tbl_WaCS_Multi[[#This Row],[SGEe]],
tbl_WaCS_Multi[[#This Row],[Gas]]*tbl_WaCS_Multi[[#This Row],[SGEg]],
tbl_WaCS_Multi[[#This Row],[LPG]]*tbl_WaCS_Multi[[#This Row],[SGEl]]*tbl_WaCS_Multi[[#This Row],[CFlpg]],
tbl_WaCS_Multi[[#This Row],[Diesel]]*tbl_WaCS_Multi[[#This Row],[SGEd]])</f>
        <v>#N/A</v>
      </c>
    </row>
    <row r="5" spans="1:175" ht="16.5" customHeight="1">
      <c r="A5" s="484">
        <v>4.5</v>
      </c>
      <c r="B5" s="485">
        <v>3000</v>
      </c>
      <c r="C5" s="485" t="s">
        <v>1578</v>
      </c>
      <c r="D5" s="485" t="s">
        <v>654</v>
      </c>
      <c r="E5" s="485">
        <v>50000</v>
      </c>
      <c r="F5" s="485">
        <v>20000</v>
      </c>
      <c r="G5" s="488">
        <v>10000</v>
      </c>
      <c r="H5" s="488">
        <v>100000</v>
      </c>
      <c r="I5" s="488">
        <v>100000</v>
      </c>
      <c r="J5" s="488">
        <v>100</v>
      </c>
      <c r="K5" s="488">
        <v>40</v>
      </c>
      <c r="L5" s="486">
        <v>200</v>
      </c>
      <c r="M5" s="487">
        <v>1</v>
      </c>
      <c r="N5" s="487">
        <v>0</v>
      </c>
      <c r="O5" s="487">
        <v>0</v>
      </c>
      <c r="P5" s="487">
        <v>0</v>
      </c>
      <c r="Q5" s="126">
        <f>tbl_WaCS_Multi[[#This Row],[Predicted Emissions Ratio]]</f>
        <v>0.58599999999999997</v>
      </c>
      <c r="R5" s="42">
        <f>tbl_WaCS_Multi[[#This Row],[Predicted Emissions]]</f>
        <v>4286976.5264684809</v>
      </c>
      <c r="S5" s="42">
        <f>tbl_WaCS_Multi[[#This Row],[Target Max CO2]]</f>
        <v>2512168.2445105296</v>
      </c>
      <c r="T5" s="42">
        <f>tbl_WaCS_Multi[[#This Row],[Target Max GE]]</f>
        <v>2512168.2445105296</v>
      </c>
      <c r="U5" s="378">
        <f>tbl_WaCS_Multi[[#This Row],[Target Max Energy Intensity]]</f>
        <v>853.18921511678366</v>
      </c>
      <c r="V5" s="42">
        <f>tbl_WaCS_Multi[[#This Row],[Target Scopes 1,2&amp;3]]</f>
        <v>2180372.4</v>
      </c>
      <c r="W5" s="42">
        <f>tbl_WaCS_Multi[[#This Row],[Target Scopes 1&amp;2]]</f>
        <v>2014474.5</v>
      </c>
      <c r="X5" s="42">
        <f>tbl_WaCS_Multi[[#This Row],[Target Max Elec (kWh)]]</f>
        <v>2369970</v>
      </c>
      <c r="Y5" s="42">
        <f>tbl_WaCS_Multi[[#This Row],[Target Max Gas (MJ)]]</f>
        <v>0</v>
      </c>
      <c r="Z5" s="42">
        <f>tbl_WaCS_Multi[[#This Row],[Target Max LPG (L)]]</f>
        <v>0</v>
      </c>
      <c r="AA5" s="42">
        <f>tbl_WaCS_Multi[[#This Row],[Target Max Diesel (L)]]</f>
        <v>0</v>
      </c>
      <c r="AB5" s="285">
        <v>857096</v>
      </c>
      <c r="AC5" s="285">
        <v>2776993</v>
      </c>
      <c r="AD5" s="285">
        <v>0</v>
      </c>
      <c r="AE5" s="285">
        <v>7993</v>
      </c>
      <c r="AF5" s="45" t="str">
        <f>INDEX(tbl_Climate_Lookup[#Data],MATCH(tbl_WaCS_Multi[[Postcode]:[Postcode]],tbl_Climate_Lookup[[Postcode]:[Postcode]],0),MATCH(tbl_WaCS_Multi[[#Headers],[State]],tbl_Climate_Lookup[#Headers],0))</f>
        <v>VIC</v>
      </c>
      <c r="AG5" s="45">
        <f>INDEX(tbl_Climate_Lookup[#Data],MATCH(tbl_WaCS_Multi[[Postcode]:[Postcode]],tbl_Climate_Lookup[[Postcode]:[Postcode]],0),MATCH(tbl_WaCS_Multi[[#Headers],[Climate zone]],tbl_Climate_Lookup[#Headers],0))</f>
        <v>18</v>
      </c>
      <c r="AH5" s="169">
        <f>INDEX(tbl_Climate_Lookup[#Data],MATCH(tbl_WaCS_Multi[[Postcode]:[Postcode]],tbl_Climate_Lookup[[Postcode]:[Postcode]],0),MATCH(tbl_WaCS_Multi[[#Headers],[HDD]],tbl_Climate_Lookup[#Headers],0))</f>
        <v>1590</v>
      </c>
      <c r="AI5" s="169">
        <f>INDEX(tbl_Climate_Lookup[#Data],MATCH(tbl_WaCS_Multi[[Postcode]:[Postcode]],tbl_Climate_Lookup[[Postcode]:[Postcode]],0),MATCH(tbl_WaCS_Multi[[#Headers],[CDD]],tbl_Climate_Lookup[#Headers],0))</f>
        <v>100</v>
      </c>
      <c r="AJ5" s="46">
        <f>INDEX(tbl_SGE_Warehouse_2022[],MATCH(tbl_WaCS_Multi[[State]:[State]],tbl_SGE_Warehouse_2022[[State]:[State]],0),MATCH(tbl_WaCS_Multi[[#Headers],[SGEe]],tbl_SGE_Warehouse_2022[#Headers],0))</f>
        <v>1.06</v>
      </c>
      <c r="AK5" s="46">
        <f>INDEX(tbl_SGE_Warehouse_2022[],MATCH(tbl_WaCS_Multi[[State]:[State]],tbl_SGE_Warehouse_2022[[State]:[State]],0),MATCH(tbl_WaCS_Multi[[#Headers],[SGEg]],tbl_SGE_Warehouse_2022[#Headers],0))</f>
        <v>5.5530000000000003E-2</v>
      </c>
      <c r="AL5" s="46">
        <f>INDEX(tbl_SGE_Warehouse_2022[],MATCH(tbl_WaCS_Multi[[State]:[State]],tbl_SGE_Warehouse_2022[[State]:[State]],0),MATCH(tbl_WaCS_Multi[[#Headers],[SGEl]],tbl_SGE_Warehouse_2022[#Headers],0))</f>
        <v>5.5530000000000003E-2</v>
      </c>
      <c r="AM5" s="46">
        <f>INDEX(tbl_SGE_Warehouse_2022[],MATCH(tbl_WaCS_Multi[[State]:[State]],tbl_SGE_Warehouse_2022[[State]:[State]],0),MATCH(tbl_WaCS_Multi[[#Headers],[SGEd]],tbl_SGE_Warehouse_2022[#Headers],0))</f>
        <v>2.8486799999999999</v>
      </c>
      <c r="AN5" s="46">
        <f>INDEX(tbl_SGE_Warehouse_2022[],MATCH(tbl_WaCS_Multi[[State]:[State]],tbl_SGE_Warehouse_2022[[State]:[State]],0),MATCH(tbl_WaCS_Multi[[#Headers],[SGEe wrt NSW]],tbl_SGE_Warehouse_2022[#Headers],0))</f>
        <v>1.2325581395348839</v>
      </c>
      <c r="AO5" s="46">
        <f>INDEX(tbl_SGE_Warehouse_2022[],MATCH(tbl_WaCS_Multi[[State]:[State]],tbl_SGE_Warehouse_2022[[State]:[State]],0),MATCH(tbl_WaCS_Multi[[#Headers],[SGEg wrt NSW]],tbl_SGE_Warehouse_2022[#Headers],0))</f>
        <v>0.85919851462169272</v>
      </c>
      <c r="AP5" s="50">
        <f>INDEX(tbl_Conversion_Factors[[Conversion Factors]:[Conversion Factors]],MATCH(tbl_WaCS_Multi[[#Headers],[CFelec]],tbl_Conversion_Factors[[Reference]:[Reference]],0))</f>
        <v>3.6</v>
      </c>
      <c r="AQ5" s="50">
        <f>INDEX(tbl_Conversion_Factors[[Conversion Factors]:[Conversion Factors]],MATCH(tbl_WaCS_Multi[[#Headers],[CFlpg]],tbl_Conversion_Factors[[Reference]:[Reference]],0))</f>
        <v>25.7</v>
      </c>
      <c r="AR5" s="50">
        <f>INDEX(tbl_Conversion_Factors[[Conversion Factors]:[Conversion Factors]],MATCH(tbl_WaCS_Multi[[#Headers],[CFdiesel]],tbl_Conversion_Factors[[Reference]:[Reference]],0))</f>
        <v>38.6</v>
      </c>
      <c r="AS5" s="45">
        <f>tbl_WaCS_Multi[[#This Row],[SGEe]]/tbl_WaCS_Multi[[#This Row],[CFelec]]</f>
        <v>0.29444444444444445</v>
      </c>
      <c r="AT5" s="45">
        <f>tbl_WaCS_Multi[[#This Row],[SGEd]]/tbl_WaCS_Multi[[#This Row],[CFdiesel]]</f>
        <v>7.3799999999999991E-2</v>
      </c>
      <c r="AU5" s="46">
        <f>IF(SUM(tbl_WaCS_Multi[[#This Row],[Electricity (%)]:[Diesel (%)]])=1,
SUM(tbl_WaCS_Multi[[#This Row],[Electricity (%)]]*tbl_WaCS_Multi[[#This Row],[SGEeMJ]],
tbl_WaCS_Multi[[#This Row],[Gas (%)]]*tbl_WaCS_Multi[[#This Row],[SGEg]],
tbl_WaCS_Multi[[#This Row],[LPG (%)]]*tbl_WaCS_Multi[[#This Row],[SGEl]],
tbl_WaCS_Multi[[#This Row],[Diesel (%)]]*tbl_WaCS_Multi[[#This Row],[SGEdMJ]]),
0)</f>
        <v>0.29444444444444445</v>
      </c>
      <c r="AV5" s="46">
        <f>INDEX(tbl_NGA_Factors_2022[#Data],MATCH(tbl_WaCS_Multi[[State]:[State]],tbl_NGA_Factors_2022[[State]:[State]],0),MATCH(tbl_WaCS_Multi[[#Headers],[SGEe Scopes 1,2&amp;3]],tbl_NGA_Factors_2022[#Headers],0))</f>
        <v>0.91999999999999993</v>
      </c>
      <c r="AW5" s="46">
        <f>INDEX(tbl_NGA_Factors_2022[#Data],MATCH(tbl_WaCS_Multi[[State]:[State]],tbl_NGA_Factors_2022[[State]:[State]],0),MATCH(tbl_WaCS_Multi[[#Headers],[SGEg Scopes 1,2&amp;3]],tbl_NGA_Factors_2022[#Headers],0))</f>
        <v>5.5530000000000003E-2</v>
      </c>
      <c r="AX5" s="46">
        <f>INDEX(tbl_NGA_Factors_2022[#Data],MATCH(tbl_WaCS_Multi[[State]:[State]],tbl_NGA_Factors_2022[[State]:[State]],0),MATCH(tbl_WaCS_Multi[[#Headers],[SGEl Scopes 1,2&amp;3]],tbl_NGA_Factors_2022[#Headers],0))</f>
        <v>2.0765599999999997</v>
      </c>
      <c r="AY5" s="46">
        <f>INDEX(tbl_NGA_Factors_2022[#Data],MATCH(tbl_WaCS_Multi[[State]:[State]],tbl_NGA_Factors_2022[[State]:[State]],0),MATCH(tbl_WaCS_Multi[[#Headers],[SGEd Scopes 1,2&amp;3]],tbl_NGA_Factors_2022[#Headers],0))</f>
        <v>3.3775000000000004</v>
      </c>
      <c r="AZ5" s="46">
        <f>INDEX(tbl_NGA_Factors_2022[#Data],MATCH(tbl_WaCS_Multi[[State]:[State]],tbl_NGA_Factors_2022[[State]:[State]],0),MATCH(tbl_WaCS_Multi[[#Headers],[SGEe Scopes 1&amp;2]],tbl_NGA_Factors_2022[#Headers],0))</f>
        <v>0.85</v>
      </c>
      <c r="BA5" s="46">
        <f>INDEX(tbl_NGA_Factors_2022[#Data],MATCH(tbl_WaCS_Multi[[State]:[State]],tbl_NGA_Factors_2022[[State]:[State]],0),MATCH(tbl_WaCS_Multi[[#Headers],[SGEg Scopes 1&amp;2]],tbl_NGA_Factors_2022[#Headers],0))</f>
        <v>5.1529999999999999E-2</v>
      </c>
      <c r="BB5" s="46">
        <f>INDEX(tbl_NGA_Factors_2022[#Data],MATCH(tbl_WaCS_Multi[[State]:[State]],tbl_NGA_Factors_2022[[State]:[State]],0),MATCH(tbl_WaCS_Multi[[#Headers],[SGEl Scopes 1&amp;2]],tbl_NGA_Factors_2022[#Headers],0))</f>
        <v>1.55742</v>
      </c>
      <c r="BC5" s="46">
        <f>INDEX(tbl_NGA_Factors_2022[#Data],MATCH(tbl_WaCS_Multi[[State]:[State]],tbl_NGA_Factors_2022[[State]:[State]],0),MATCH(tbl_WaCS_Multi[[#Headers],[SGEd Scopes 1&amp;2]],tbl_NGA_Factors_2022[#Headers],0))</f>
        <v>2.7097199999999999</v>
      </c>
      <c r="BD5" s="45">
        <f>Warehouses_C_Conditioned_Area*tbl_WaCS_Multi[[#This Row],[Conditioned GLA]]</f>
        <v>918560</v>
      </c>
      <c r="BE5" s="45">
        <f>Warehouses_C_Non_Conditioned_Area*tbl_WaCS_Multi[[#This Row],[Non-Conditioned GLA]]</f>
        <v>223490</v>
      </c>
      <c r="BF5" s="45">
        <f>tbl_WaCS_Multi[[#This Row],[FTE]]/tbl_WaCS_Multi[[#This Row],[Total GLA]]</f>
        <v>8.0000000000000004E-4</v>
      </c>
      <c r="BG5" s="45">
        <f>1-Warehouse_C_C1_Hours_Intercept+Warehouse_C_C1_Hours_Coefficient*tbl_WaCS_Multi[[#This Row],[Hours]]</f>
        <v>1.4219999999999997</v>
      </c>
      <c r="BH5" s="45">
        <f>1-Warehouse_C_C2_Non_Refrigerated_FTE_Intercept+Warehouse_C_C2_Non_Refrigerated_FTE_Coefficient*tbl_WaCS_Multi[[#This Row],[FTEstandardized]]</f>
        <v>0.92248960000000002</v>
      </c>
      <c r="BI5" s="45">
        <f>1-Warehouse_C_C2_Non_Refrigerated_FTE_Intercept+Warehouse_C_C2_Non_Refrigerated_FTE_Coefficient*(Warehouse_C_K2_K3_Non_Refrigerated_ATR_Intercept+Warehouse_C_K2_K3_Non_Refrigerated_ATR_Coefficient*tbl_WaCS_Multi[[#This Row],[ATR]])</f>
        <v>2.1449503600000002</v>
      </c>
      <c r="BJ5" s="45">
        <f>IF(tbl_WaCS_Multi[[#This Row],[Cold Store]]="No",0,Warehouses_C_Cold_Volume*tbl_WaCS_Multi[[#This Row],[Cold Volume]])</f>
        <v>0</v>
      </c>
      <c r="BK5" s="45">
        <f>IF(tbl_WaCS_Multi[[#This Row],[Cold Store]]="No",0,Warehouses_C_Cool_Volume*tbl_WaCS_Multi[[#This Row],[Non-Conditioned GLA]])</f>
        <v>0</v>
      </c>
      <c r="BL5" s="45">
        <f>1-Warehouse_C_C2_Refrigerated_FTE_Intercept+Warehouse_C_C2_Refrigerated_FTE_Coefficient*tbl_WaCS_Multi[[#This Row],[FTEstandardized]]</f>
        <v>0.73370079999999993</v>
      </c>
      <c r="BM5" s="45">
        <f>1-Warehouse_C_C2_Refrigerated_FTE_Intercept+Warehouse_C_C2_Refrigerated_FTE_Coefficient*(Warehouse_C_K2_K3_Non_Refrigerated_ATR_Intercept+Warehouse_C_K2_K3_Non_Refrigerated_ATR_Coefficient*tbl_WaCS_Multi[[#This Row],[ATR]])</f>
        <v>4.2955997799999999</v>
      </c>
      <c r="BN5" s="45">
        <f>SUM(Warehouses_C_Conditioned_Area*tbl_WaCS_Multi[[#This Row],[Conditioned GLA]],Warehouses_C_Non_Conditioned_Area*tbl_WaCS_Multi[[#This Row],[Non-Conditioned GLA]])*tbl_WaCS_Multi[[#This Row],[C1]]*tbl_WaCS_Multi[[#This Row],[C2]]</f>
        <v>1498118.5902009597</v>
      </c>
      <c r="BO5" s="45">
        <f>IF(tbl_WaCS_Multi[[#This Row],[Cold Store]]="No",0,(Warehouses_C_Cold_Volume*tbl_WaCS_Multi[[#This Row],[Cold Volume]]+Warehouses_C_Cool_Volume*tbl_WaCS_Multi[[#This Row],[Cool Volume]])*tbl_WaCS_Multi[[#This Row],[C3]])</f>
        <v>0</v>
      </c>
      <c r="BP5" s="45">
        <f>SUM(tbl_WaCS_Multi[[#This Row],[(45.928CG+22.349NCG)C1C2]],tbl_WaCS_Multi[[#This Row],[(32.537CDV+24.854CLV)C3]])</f>
        <v>1498118.5902009597</v>
      </c>
      <c r="BQ5" s="45">
        <f>(Warehouse_C_Adjustment_Elec*tbl_WaCS_Multi[[#This Row],[Bori1FTE]]*tbl_WaCS_Multi[[#This Row],[SGEe wrt NSW]])+(Warehouse_C_Adjustment_Gas*tbl_WaCS_Multi[[#This Row],[Bori1FTE]]*tbl_WaCS_Multi[[#This Row],[SGEg wrt NSW]])</f>
        <v>1843721.5773661535</v>
      </c>
      <c r="BR5" s="45">
        <f>SUM(Warehouses_C_Conditioned_Area*tbl_WaCS_Multi[[#This Row],[Conditioned GLA]],Warehouses_C_Non_Conditioned_Area*tbl_WaCS_Multi[[#This Row],[Non-Conditioned GLA]])*tbl_WaCS_Multi[[#This Row],[C1]]*tbl_WaCS_Multi[[#This Row],[K2]]</f>
        <v>3483388.8743832354</v>
      </c>
      <c r="BS5" s="45">
        <f>IF(tbl_WaCS_Multi[[#This Row],[Cold Store]]="No",0,(Warehouses_C_Cold_Volume*tbl_WaCS_Multi[[#This Row],[Cold Volume]]+Warehouses_C_Cool_Volume*tbl_WaCS_Multi[[#This Row],[Cool Volume]])*tbl_WaCS_Multi[[#This Row],[K3]])</f>
        <v>0</v>
      </c>
      <c r="BT5" s="45">
        <f>SUM(tbl_WaCS_Multi[[#This Row],[(45.928CG+22.349NCG)C1K2]],tbl_WaCS_Multi[[#This Row],[(32.537CDV+24.854CLV)K3]])</f>
        <v>3483388.8743832354</v>
      </c>
      <c r="BU5" s="45">
        <f>(Warehouse_C_Adjustment_Elec*tbl_WaCS_Multi[[#This Row],[Bori2ATR]]*tbl_WaCS_Multi[[#This Row],[SGEe wrt NSW]])+(Warehouse_C_Adjustment_Gas*tbl_WaCS_Multi[[#This Row],[Bori2ATR]]*tbl_WaCS_Multi[[#This Row],[SGEg wrt NSW]])</f>
        <v>4286976.5264684809</v>
      </c>
      <c r="BV5" s="45">
        <f>IF(tbl_WaCS_Multi[[#This Row],[FTRE of ATR]]="FTE",tbl_WaCS_Multi[[#This Row],[Badjusted1FTE]],
IF(tbl_WaCS_Multi[[#This Row],[FTRE of ATR]]="ATR",tbl_WaCS_Multi[[#This Row],[Badjusted2ATR]],
MAX(tbl_WaCS_Multi[[#This Row],[Badjusted1FTE]],tbl_WaCS_Multi[[#This Row],[Badjusted2ATR]])))</f>
        <v>4286976.5264684809</v>
      </c>
      <c r="BW5" s="36">
        <f>((tbl_WaCS_Multi[[#This Row],[Target Energy]]-7)/-3.75)*0.879</f>
        <v>0.58599999999999997</v>
      </c>
      <c r="BX5" s="36">
        <f>tbl_WaCS_Multi[[#This Row],[Predicted Emissions]]*tbl_WaCS_Multi[[#This Row],[Predicted Emissions Ratio]]</f>
        <v>2512168.2445105296</v>
      </c>
      <c r="BY5" s="44">
        <f>tbl_WaCS_Multi[[#This Row],[Target Max GE]]</f>
        <v>2512168.2445105296</v>
      </c>
      <c r="BZ5" s="44">
        <f>tbl_WaCS_Multi[[#This Row],[Target Max CO2]]/tbl_WaCS_Multi[[#This Row],[EffGHGMJ]]</f>
        <v>8531892.151167836</v>
      </c>
      <c r="CA5" s="44">
        <f>tbl_WaCS_Multi[[#This Row],[Target Max Energy (MJ)]]/tbl_WaCS_Multi[[#This Row],[Non-Conditioned GLA]]</f>
        <v>853.18921511678366</v>
      </c>
      <c r="CB5" s="44">
        <f>ROUNDDOWN(tbl_WaCS_Multi[[#This Row],[Target Max Energy (MJ)]]*tbl_WaCS_Multi[[#This Row],[Electricity (%)]]/tbl_WaCS_Multi[[#This Row],[CFelec]],0)</f>
        <v>2369970</v>
      </c>
      <c r="CC5" s="44">
        <f>ROUNDDOWN(tbl_WaCS_Multi[[#This Row],[Target Max Energy (MJ)]]*tbl_WaCS_Multi[[#This Row],[Gas (%)]],0)</f>
        <v>0</v>
      </c>
      <c r="CD5" s="44">
        <f>ROUNDDOWN(tbl_WaCS_Multi[[#This Row],[Target Max Energy (MJ)]]*tbl_WaCS_Multi[[#This Row],[LPG (%)]]/tbl_WaCS_Multi[[#This Row],[CFlpg]],0)</f>
        <v>0</v>
      </c>
      <c r="CE5" s="44">
        <f>ROUNDDOWN(tbl_WaCS_Multi[[#This Row],[Target Max Energy (MJ)]]*tbl_WaCS_Multi[[#This Row],[Diesel (%)]]/tbl_WaCS_Multi[[#This Row],[CFdiesel]],0)</f>
        <v>0</v>
      </c>
      <c r="CF5" s="44">
        <f>SUM(tbl_WaCS_Multi[[#This Row],[Target Max Elec (kWh)]]*tbl_WaCS_Multi[[#This Row],[SGEe Scopes 1,2&amp;3]],
tbl_WaCS_Multi[[#This Row],[Target Max Gas (MJ)]]*tbl_WaCS_Multi[[#This Row],[SGEg Scopes 1,2&amp;3]],
tbl_WaCS_Multi[[#This Row],[Target Max LPG (L)]]*tbl_WaCS_Multi[[#This Row],[SGEl Scopes 1,2&amp;3]],
tbl_WaCS_Multi[[#This Row],[Target Max Diesel (L)]]*tbl_WaCS_Multi[[#This Row],[SGEd Scopes 1,2&amp;3]])</f>
        <v>2180372.4</v>
      </c>
      <c r="CG5" s="44">
        <f>SUM(tbl_WaCS_Multi[[#This Row],[Target Max Elec (kWh)]]*tbl_WaCS_Multi[[#This Row],[SGEe Scopes 1&amp;2]],
tbl_WaCS_Multi[[#This Row],[Target Max Gas (MJ)]]*tbl_WaCS_Multi[[#This Row],[SGEg Scopes 1&amp;2]],
tbl_WaCS_Multi[[#This Row],[Target Max LPG (L)]]*tbl_WaCS_Multi[[#This Row],[SGEl Scopes 1&amp;2]],
tbl_WaCS_Multi[[#This Row],[Target Max Diesel (L)]]*tbl_WaCS_Multi[[#This Row],[SGEd Scopes 1&amp;2]])</f>
        <v>2014474.5</v>
      </c>
      <c r="CH5" s="36">
        <f>((LEFT(tbl_WaCS_Multi[[#Headers],[6.0* Max Predicted Emissions Ratio]],3)-7)/-3.75)*0.879</f>
        <v>0.2344</v>
      </c>
      <c r="CI5" s="36">
        <f>((LEFT(tbl_WaCS_Multi[[#Headers],[5.5* Max Predicted Emissions Ratio]],3)-7)/-3.75)*0.879</f>
        <v>0.35160000000000002</v>
      </c>
      <c r="CJ5" s="36">
        <f>((LEFT(tbl_WaCS_Multi[[#Headers],[5.0* Max Predicted Emissions Ratio]],3)-7)/-3.75)*0.879</f>
        <v>0.46879999999999999</v>
      </c>
      <c r="CK5" s="36">
        <f>((LEFT(tbl_WaCS_Multi[[#Headers],[4.5* Max Predicted Emissions Ratio]],3)-7)/-3.75)*0.879</f>
        <v>0.58599999999999997</v>
      </c>
      <c r="CL5" s="36">
        <f>((LEFT(tbl_WaCS_Multi[[#Headers],[4.0* Max Predicted Emissions Ratio]],3)-7)/-3.75)*0.879</f>
        <v>0.70320000000000005</v>
      </c>
      <c r="CM5" s="36">
        <f>((LEFT(tbl_WaCS_Multi[[#Headers],[3.5* Max Predicted Emissions Ratio]],3)-7)/-3.75)*0.879</f>
        <v>0.82040000000000002</v>
      </c>
      <c r="CN5" s="36">
        <f>((LEFT(tbl_WaCS_Multi[[#Headers],[3.0* Max Predicted Emissions Ratio]],3)-7)/-3.75)*0.879</f>
        <v>0.93759999999999999</v>
      </c>
      <c r="CO5" s="36">
        <f>((LEFT(tbl_WaCS_Multi[[#Headers],[2.5* Max Predicted Emissions Ratio]],3)-7)/-3.75)*0.879</f>
        <v>1.0548</v>
      </c>
      <c r="CP5" s="36">
        <f>((LEFT(tbl_WaCS_Multi[[#Headers],[2.0* Max Predicted Emissions Ratio]],3)-7)/-3.75)*0.879</f>
        <v>1.1719999999999999</v>
      </c>
      <c r="CQ5" s="36">
        <f>((LEFT(tbl_WaCS_Multi[[#Headers],[1.5* Max Predicted Emissions Ratio]],3)-7)/-3.75)*0.879</f>
        <v>1.2891999999999999</v>
      </c>
      <c r="CR5" s="36">
        <f>((LEFT(tbl_WaCS_Multi[[#Headers],[1.0* Max Predicted Emissions Ratio]],3)-7)/-3.75)*0.879</f>
        <v>1.4064000000000001</v>
      </c>
      <c r="CS5" s="36">
        <f>((LEFT(tbl_WaCS_Multi[[#Headers],[0.0* Max Predicted Emissions Ratio]],3)-7)/-3.75)*0.879</f>
        <v>1.6408</v>
      </c>
      <c r="CT5" s="44">
        <f>tbl_WaCS_Multi[[Predicted Emissions]:[Predicted Emissions]]*tbl_WaCS_Multi[[#This Row],[6.0* Max Predicted Emissions Ratio]]</f>
        <v>1004867.297804212</v>
      </c>
      <c r="CU5" s="44">
        <f>tbl_WaCS_Multi[[Predicted Emissions]:[Predicted Emissions]]*tbl_WaCS_Multi[[#This Row],[5.5* Max Predicted Emissions Ratio]]</f>
        <v>1507300.9467063181</v>
      </c>
      <c r="CV5" s="44">
        <f>tbl_WaCS_Multi[[Predicted Emissions]:[Predicted Emissions]]*tbl_WaCS_Multi[[#This Row],[5.0* Max Predicted Emissions Ratio]]</f>
        <v>2009734.5956084239</v>
      </c>
      <c r="CW5" s="44">
        <f>tbl_WaCS_Multi[[Predicted Emissions]:[Predicted Emissions]]*tbl_WaCS_Multi[[#This Row],[4.5* Max Predicted Emissions Ratio]]</f>
        <v>2512168.2445105296</v>
      </c>
      <c r="CX5" s="44">
        <f>tbl_WaCS_Multi[[Predicted Emissions]:[Predicted Emissions]]*tbl_WaCS_Multi[[#This Row],[4.0* Max Predicted Emissions Ratio]]</f>
        <v>3014601.8934126361</v>
      </c>
      <c r="CY5" s="44">
        <f>tbl_WaCS_Multi[[Predicted Emissions]:[Predicted Emissions]]*tbl_WaCS_Multi[[#This Row],[3.5* Max Predicted Emissions Ratio]]</f>
        <v>3517035.5423147418</v>
      </c>
      <c r="CZ5" s="44">
        <f>tbl_WaCS_Multi[[Predicted Emissions]:[Predicted Emissions]]*tbl_WaCS_Multi[[#This Row],[3.0* Max Predicted Emissions Ratio]]</f>
        <v>4019469.1912168479</v>
      </c>
      <c r="DA5" s="44">
        <f>tbl_WaCS_Multi[[Predicted Emissions]:[Predicted Emissions]]*tbl_WaCS_Multi[[#This Row],[2.5* Max Predicted Emissions Ratio]]</f>
        <v>4521902.840118954</v>
      </c>
      <c r="DB5" s="44">
        <f>tbl_WaCS_Multi[[Predicted Emissions]:[Predicted Emissions]]*tbl_WaCS_Multi[[#This Row],[2.0* Max Predicted Emissions Ratio]]</f>
        <v>5024336.4890210591</v>
      </c>
      <c r="DC5" s="44">
        <f>tbl_WaCS_Multi[[Predicted Emissions]:[Predicted Emissions]]*tbl_WaCS_Multi[[#This Row],[1.5* Max Predicted Emissions Ratio]]</f>
        <v>5526770.1379231652</v>
      </c>
      <c r="DD5" s="44">
        <f>tbl_WaCS_Multi[[Predicted Emissions]:[Predicted Emissions]]*tbl_WaCS_Multi[[#This Row],[1.0* Max Predicted Emissions Ratio]]</f>
        <v>6029203.7868252723</v>
      </c>
      <c r="DE5" s="44">
        <f>tbl_WaCS_Multi[[Predicted Emissions]:[Predicted Emissions]]*tbl_WaCS_Multi[[#This Row],[0.0* Max Predicted Emissions Ratio]]</f>
        <v>7034071.0846294835</v>
      </c>
      <c r="DF5" s="44">
        <f>tbl_WaCS_Multi[[#This Row],[6.0* Max CO2]]/tbl_WaCS_Multi[[EffGHGMJ]:[EffGHGMJ]]</f>
        <v>3412756.860467135</v>
      </c>
      <c r="DG5" s="44">
        <f>tbl_WaCS_Multi[[#This Row],[5.5* Max CO2]]/tbl_WaCS_Multi[[EffGHGMJ]:[EffGHGMJ]]</f>
        <v>5119135.2907007029</v>
      </c>
      <c r="DH5" s="44">
        <f>tbl_WaCS_Multi[[#This Row],[5.0* Max CO2]]/tbl_WaCS_Multi[[EffGHGMJ]:[EffGHGMJ]]</f>
        <v>6825513.7209342699</v>
      </c>
      <c r="DI5" s="44">
        <f>tbl_WaCS_Multi[[#This Row],[4.5* Max CO2]]/tbl_WaCS_Multi[[EffGHGMJ]:[EffGHGMJ]]</f>
        <v>8531892.151167836</v>
      </c>
      <c r="DJ5" s="44">
        <f>tbl_WaCS_Multi[[#This Row],[4.0* Max CO2]]/tbl_WaCS_Multi[[EffGHGMJ]:[EffGHGMJ]]</f>
        <v>10238270.581401406</v>
      </c>
      <c r="DK5" s="44">
        <f>tbl_WaCS_Multi[[#This Row],[3.5* Max CO2]]/tbl_WaCS_Multi[[EffGHGMJ]:[EffGHGMJ]]</f>
        <v>11944649.011634972</v>
      </c>
      <c r="DL5" s="44">
        <f>tbl_WaCS_Multi[[#This Row],[3.0* Max CO2]]/tbl_WaCS_Multi[[EffGHGMJ]:[EffGHGMJ]]</f>
        <v>13651027.44186854</v>
      </c>
      <c r="DM5" s="44">
        <f>tbl_WaCS_Multi[[#This Row],[2.5* Max CO2]]/tbl_WaCS_Multi[[EffGHGMJ]:[EffGHGMJ]]</f>
        <v>15357405.872102108</v>
      </c>
      <c r="DN5" s="44">
        <f>tbl_WaCS_Multi[[#This Row],[2.0* Max CO2]]/tbl_WaCS_Multi[[EffGHGMJ]:[EffGHGMJ]]</f>
        <v>17063784.302335672</v>
      </c>
      <c r="DO5" s="44">
        <f>tbl_WaCS_Multi[[#This Row],[1.5* Max CO2]]/tbl_WaCS_Multi[[EffGHGMJ]:[EffGHGMJ]]</f>
        <v>18770162.73256924</v>
      </c>
      <c r="DP5" s="44">
        <f>tbl_WaCS_Multi[[#This Row],[1.0* Max CO2]]/tbl_WaCS_Multi[[EffGHGMJ]:[EffGHGMJ]]</f>
        <v>20476541.162802812</v>
      </c>
      <c r="DQ5" s="44">
        <f>tbl_WaCS_Multi[[#This Row],[0.0* Max CO2]]/tbl_WaCS_Multi[[EffGHGMJ]:[EffGHGMJ]]</f>
        <v>23889298.023269944</v>
      </c>
      <c r="DR5" s="44">
        <f>ROUNDDOWN(tbl_WaCS_Multi[[#This Row],[6.0* Max Energy (MJ)]]*tbl_WaCS_Multi[[Electricity (%)]:[Electricity (%)]]/tbl_WaCS_Multi[[CFelec]:[CFelec]],0)</f>
        <v>947988</v>
      </c>
      <c r="DS5" s="44">
        <f>ROUNDDOWN(tbl_WaCS_Multi[[#This Row],[5.5* Max Energy (MJ)]]*tbl_WaCS_Multi[[Electricity (%)]:[Electricity (%)]]/tbl_WaCS_Multi[[CFelec]:[CFelec]],0)</f>
        <v>1421982</v>
      </c>
      <c r="DT5" s="44">
        <f>ROUNDDOWN(tbl_WaCS_Multi[[#This Row],[5.0* Max Energy (MJ)]]*tbl_WaCS_Multi[[Electricity (%)]:[Electricity (%)]]/tbl_WaCS_Multi[[CFelec]:[CFelec]],0)</f>
        <v>1895976</v>
      </c>
      <c r="DU5" s="44">
        <f>ROUNDDOWN(tbl_WaCS_Multi[[#This Row],[4.5* Max Energy (MJ)]]*tbl_WaCS_Multi[[Electricity (%)]:[Electricity (%)]]/tbl_WaCS_Multi[[CFelec]:[CFelec]],0)</f>
        <v>2369970</v>
      </c>
      <c r="DV5" s="44">
        <f>ROUNDDOWN(tbl_WaCS_Multi[[#This Row],[4.0* Max Energy (MJ)]]*tbl_WaCS_Multi[[Electricity (%)]:[Electricity (%)]]/tbl_WaCS_Multi[[CFelec]:[CFelec]],0)</f>
        <v>2843964</v>
      </c>
      <c r="DW5" s="44">
        <f>ROUNDDOWN(tbl_WaCS_Multi[[#This Row],[3.5* Max Energy (MJ)]]*tbl_WaCS_Multi[[Electricity (%)]:[Electricity (%)]]/tbl_WaCS_Multi[[CFelec]:[CFelec]],0)</f>
        <v>3317958</v>
      </c>
      <c r="DX5" s="44">
        <f>ROUNDDOWN(tbl_WaCS_Multi[[#This Row],[3.0* Max Energy (MJ)]]*tbl_WaCS_Multi[[Electricity (%)]:[Electricity (%)]]/tbl_WaCS_Multi[[CFelec]:[CFelec]],0)</f>
        <v>3791952</v>
      </c>
      <c r="DY5" s="44">
        <f>ROUNDDOWN(tbl_WaCS_Multi[[#This Row],[2.5* Max Energy (MJ)]]*tbl_WaCS_Multi[[Electricity (%)]:[Electricity (%)]]/tbl_WaCS_Multi[[CFelec]:[CFelec]],0)</f>
        <v>4265946</v>
      </c>
      <c r="DZ5" s="44">
        <f>ROUNDDOWN(tbl_WaCS_Multi[[#This Row],[2.0* Max Energy (MJ)]]*tbl_WaCS_Multi[[Electricity (%)]:[Electricity (%)]]/tbl_WaCS_Multi[[CFelec]:[CFelec]],0)</f>
        <v>4739940</v>
      </c>
      <c r="EA5" s="44">
        <f>ROUNDDOWN(tbl_WaCS_Multi[[#This Row],[1.5* Max Energy (MJ)]]*tbl_WaCS_Multi[[Electricity (%)]:[Electricity (%)]]/tbl_WaCS_Multi[[CFelec]:[CFelec]],0)</f>
        <v>5213934</v>
      </c>
      <c r="EB5" s="44">
        <f>ROUNDDOWN(tbl_WaCS_Multi[[#This Row],[1.0* Max Energy (MJ)]]*tbl_WaCS_Multi[[Electricity (%)]:[Electricity (%)]]/tbl_WaCS_Multi[[CFelec]:[CFelec]],0)</f>
        <v>5687928</v>
      </c>
      <c r="EC5" s="44">
        <f>ROUNDDOWN(tbl_WaCS_Multi[[#This Row],[0.0* Max Energy (MJ)]]*tbl_WaCS_Multi[[Electricity (%)]:[Electricity (%)]]/tbl_WaCS_Multi[[CFelec]:[CFelec]],0)</f>
        <v>6635916</v>
      </c>
      <c r="ED5" s="44">
        <f>ROUNDDOWN(tbl_WaCS_Multi[[#This Row],[6.0* Max Energy (MJ)]]*tbl_WaCS_Multi[[Gas (%)]:[Gas (%)]],0)</f>
        <v>0</v>
      </c>
      <c r="EE5" s="44">
        <f>ROUNDDOWN(tbl_WaCS_Multi[[#This Row],[5.5* Max Energy (MJ)]]*tbl_WaCS_Multi[[Gas (%)]:[Gas (%)]],0)</f>
        <v>0</v>
      </c>
      <c r="EF5" s="44">
        <f>ROUNDDOWN(tbl_WaCS_Multi[[#This Row],[5.0* Max Energy (MJ)]]*tbl_WaCS_Multi[[Gas (%)]:[Gas (%)]],0)</f>
        <v>0</v>
      </c>
      <c r="EG5" s="44">
        <f>ROUNDDOWN(tbl_WaCS_Multi[[#This Row],[4.5* Max Energy (MJ)]]*tbl_WaCS_Multi[[Gas (%)]:[Gas (%)]],0)</f>
        <v>0</v>
      </c>
      <c r="EH5" s="44">
        <f>ROUNDDOWN(tbl_WaCS_Multi[[#This Row],[4.0* Max Energy (MJ)]]*tbl_WaCS_Multi[[Gas (%)]:[Gas (%)]],0)</f>
        <v>0</v>
      </c>
      <c r="EI5" s="44">
        <f>ROUNDDOWN(tbl_WaCS_Multi[[#This Row],[3.5* Max Energy (MJ)]]*tbl_WaCS_Multi[[Gas (%)]:[Gas (%)]],0)</f>
        <v>0</v>
      </c>
      <c r="EJ5" s="44">
        <f>ROUNDDOWN(tbl_WaCS_Multi[[#This Row],[3.0* Max Energy (MJ)]]*tbl_WaCS_Multi[[Gas (%)]:[Gas (%)]],0)</f>
        <v>0</v>
      </c>
      <c r="EK5" s="44">
        <f>ROUNDDOWN(tbl_WaCS_Multi[[#This Row],[2.5* Max Energy (MJ)]]*tbl_WaCS_Multi[[Gas (%)]:[Gas (%)]],0)</f>
        <v>0</v>
      </c>
      <c r="EL5" s="44">
        <f>ROUNDDOWN(tbl_WaCS_Multi[[#This Row],[2.0* Max Energy (MJ)]]*tbl_WaCS_Multi[[Gas (%)]:[Gas (%)]],0)</f>
        <v>0</v>
      </c>
      <c r="EM5" s="44">
        <f>ROUNDDOWN(tbl_WaCS_Multi[[#This Row],[1.5* Max Energy (MJ)]]*tbl_WaCS_Multi[[Gas (%)]:[Gas (%)]],0)</f>
        <v>0</v>
      </c>
      <c r="EN5" s="44">
        <f>ROUNDDOWN(tbl_WaCS_Multi[[#This Row],[1.0* Max Energy (MJ)]]*tbl_WaCS_Multi[[Gas (%)]:[Gas (%)]],0)</f>
        <v>0</v>
      </c>
      <c r="EO5" s="44">
        <f>ROUNDDOWN(tbl_WaCS_Multi[[#This Row],[0.0* Max Energy (MJ)]]*tbl_WaCS_Multi[[Gas (%)]:[Gas (%)]],0)</f>
        <v>0</v>
      </c>
      <c r="EP5" s="44">
        <f>ROUNDDOWN(tbl_WaCS_Multi[[#This Row],[6.0* Max Energy (MJ)]]*tbl_WaCS_Multi[[LPG (%)]:[LPG (%)]]/tbl_WaCS_Multi[[CFlpg]:[CFlpg]],0)</f>
        <v>0</v>
      </c>
      <c r="EQ5" s="44">
        <f>ROUNDDOWN(tbl_WaCS_Multi[[#This Row],[5.5* Max Energy (MJ)]]*tbl_WaCS_Multi[[LPG (%)]:[LPG (%)]]/tbl_WaCS_Multi[[CFlpg]:[CFlpg]],0)</f>
        <v>0</v>
      </c>
      <c r="ER5" s="44">
        <f>ROUNDDOWN(tbl_WaCS_Multi[[#This Row],[5.0* Max Energy (MJ)]]*tbl_WaCS_Multi[[LPG (%)]:[LPG (%)]]/tbl_WaCS_Multi[[CFlpg]:[CFlpg]],0)</f>
        <v>0</v>
      </c>
      <c r="ES5" s="44">
        <f>ROUNDDOWN(tbl_WaCS_Multi[[#This Row],[4.5* Max Energy (MJ)]]*tbl_WaCS_Multi[[LPG (%)]:[LPG (%)]]/tbl_WaCS_Multi[[CFlpg]:[CFlpg]],0)</f>
        <v>0</v>
      </c>
      <c r="ET5" s="44">
        <f>ROUNDDOWN(tbl_WaCS_Multi[[#This Row],[4.0* Max Energy (MJ)]]*tbl_WaCS_Multi[[LPG (%)]:[LPG (%)]]/tbl_WaCS_Multi[[CFlpg]:[CFlpg]],0)</f>
        <v>0</v>
      </c>
      <c r="EU5" s="44">
        <f>ROUNDDOWN(tbl_WaCS_Multi[[#This Row],[3.5* Max Energy (MJ)]]*tbl_WaCS_Multi[[LPG (%)]:[LPG (%)]]/tbl_WaCS_Multi[[CFlpg]:[CFlpg]],0)</f>
        <v>0</v>
      </c>
      <c r="EV5" s="44">
        <f>ROUNDDOWN(tbl_WaCS_Multi[[#This Row],[3.0* Max Energy (MJ)]]*tbl_WaCS_Multi[[LPG (%)]:[LPG (%)]]/tbl_WaCS_Multi[[CFlpg]:[CFlpg]],0)</f>
        <v>0</v>
      </c>
      <c r="EW5" s="44">
        <f>ROUNDDOWN(tbl_WaCS_Multi[[#This Row],[2.5* Max Energy (MJ)]]*tbl_WaCS_Multi[[LPG (%)]:[LPG (%)]]/tbl_WaCS_Multi[[CFlpg]:[CFlpg]],0)</f>
        <v>0</v>
      </c>
      <c r="EX5" s="44">
        <f>ROUNDDOWN(tbl_WaCS_Multi[[#This Row],[2.0* Max Energy (MJ)]]*tbl_WaCS_Multi[[LPG (%)]:[LPG (%)]]/tbl_WaCS_Multi[[CFlpg]:[CFlpg]],0)</f>
        <v>0</v>
      </c>
      <c r="EY5" s="44">
        <f>ROUNDDOWN(tbl_WaCS_Multi[[#This Row],[1.5* Max Energy (MJ)]]*tbl_WaCS_Multi[[LPG (%)]:[LPG (%)]]/tbl_WaCS_Multi[[CFlpg]:[CFlpg]],0)</f>
        <v>0</v>
      </c>
      <c r="EZ5" s="44">
        <f>ROUNDDOWN(tbl_WaCS_Multi[[#This Row],[1.0* Max Energy (MJ)]]*tbl_WaCS_Multi[[LPG (%)]:[LPG (%)]]/tbl_WaCS_Multi[[CFlpg]:[CFlpg]],0)</f>
        <v>0</v>
      </c>
      <c r="FA5" s="44">
        <f>ROUNDDOWN(tbl_WaCS_Multi[[#This Row],[0.0* Max Energy (MJ)]]*tbl_WaCS_Multi[[LPG (%)]:[LPG (%)]]/tbl_WaCS_Multi[[CFlpg]:[CFlpg]],0)</f>
        <v>0</v>
      </c>
      <c r="FB5" s="44">
        <f>ROUNDDOWN(tbl_WaCS_Multi[[#This Row],[6.0* Max Energy (MJ)]]*tbl_WaCS_Multi[[Diesel (%)]:[Diesel (%)]]/tbl_WaCS_Multi[[CFdiesel]:[CFdiesel]],0)</f>
        <v>0</v>
      </c>
      <c r="FC5" s="44">
        <f>ROUNDDOWN(tbl_WaCS_Multi[[#This Row],[5.5* Max Energy (MJ)]]*tbl_WaCS_Multi[[Diesel (%)]:[Diesel (%)]]/tbl_WaCS_Multi[[CFdiesel]:[CFdiesel]],0)</f>
        <v>0</v>
      </c>
      <c r="FD5" s="44">
        <f>ROUNDDOWN(tbl_WaCS_Multi[[#This Row],[5.0* Max Energy (MJ)]]*tbl_WaCS_Multi[[Diesel (%)]:[Diesel (%)]]/tbl_WaCS_Multi[[CFdiesel]:[CFdiesel]],0)</f>
        <v>0</v>
      </c>
      <c r="FE5" s="44">
        <f>ROUNDDOWN(tbl_WaCS_Multi[[#This Row],[4.5* Max Energy (MJ)]]*tbl_WaCS_Multi[[Diesel (%)]:[Diesel (%)]]/tbl_WaCS_Multi[[CFdiesel]:[CFdiesel]],0)</f>
        <v>0</v>
      </c>
      <c r="FF5" s="44">
        <f>ROUNDDOWN(tbl_WaCS_Multi[[#This Row],[4.0* Max Energy (MJ)]]*tbl_WaCS_Multi[[Diesel (%)]:[Diesel (%)]]/tbl_WaCS_Multi[[CFdiesel]:[CFdiesel]],0)</f>
        <v>0</v>
      </c>
      <c r="FG5" s="44">
        <f>ROUNDDOWN(tbl_WaCS_Multi[[#This Row],[3.5* Max Energy (MJ)]]*tbl_WaCS_Multi[[Diesel (%)]:[Diesel (%)]]/tbl_WaCS_Multi[[CFdiesel]:[CFdiesel]],0)</f>
        <v>0</v>
      </c>
      <c r="FH5" s="44">
        <f>ROUNDDOWN(tbl_WaCS_Multi[[#This Row],[3.0* Max Energy (MJ)]]*tbl_WaCS_Multi[[Diesel (%)]:[Diesel (%)]]/tbl_WaCS_Multi[[CFdiesel]:[CFdiesel]],0)</f>
        <v>0</v>
      </c>
      <c r="FI5" s="44">
        <f>ROUNDDOWN(tbl_WaCS_Multi[[#This Row],[2.5* Max Energy (MJ)]]*tbl_WaCS_Multi[[Diesel (%)]:[Diesel (%)]]/tbl_WaCS_Multi[[CFdiesel]:[CFdiesel]],0)</f>
        <v>0</v>
      </c>
      <c r="FJ5" s="44">
        <f>ROUNDDOWN(tbl_WaCS_Multi[[#This Row],[2.0* Max Energy (MJ)]]*tbl_WaCS_Multi[[Diesel (%)]:[Diesel (%)]]/tbl_WaCS_Multi[[CFdiesel]:[CFdiesel]],0)</f>
        <v>0</v>
      </c>
      <c r="FK5" s="44">
        <f>ROUNDDOWN(tbl_WaCS_Multi[[#This Row],[1.5* Max Energy (MJ)]]*tbl_WaCS_Multi[[Diesel (%)]:[Diesel (%)]]/tbl_WaCS_Multi[[CFdiesel]:[CFdiesel]],0)</f>
        <v>0</v>
      </c>
      <c r="FL5" s="44">
        <f>ROUNDDOWN(tbl_WaCS_Multi[[#This Row],[1.0* Max Energy (MJ)]]*tbl_WaCS_Multi[[Diesel (%)]:[Diesel (%)]]/tbl_WaCS_Multi[[CFdiesel]:[CFdiesel]],0)</f>
        <v>0</v>
      </c>
      <c r="FM5" s="44">
        <f>ROUNDDOWN(tbl_WaCS_Multi[[#This Row],[0.0* Max Energy (MJ)]]*tbl_WaCS_Multi[[Diesel (%)]:[Diesel (%)]]/tbl_WaCS_Multi[[CFdiesel]:[CFdiesel]],0)</f>
        <v>0</v>
      </c>
      <c r="FN5" s="44">
        <f>SUM(tbl_WaCS_Multi[[#This Row],[Electricity]]*tbl_WaCS_Multi[[#This Row],[SGEe Scopes 1,2&amp;3]],
tbl_WaCS_Multi[[#This Row],[Gas]]*tbl_WaCS_Multi[[#This Row],[SGEg Scopes 1,2&amp;3]],
tbl_WaCS_Multi[[#This Row],[LPG]]*tbl_WaCS_Multi[[#This Row],[SGEl Scopes 1,2&amp;3]],
tbl_WaCS_Multi[[#This Row],[Diesel]]*tbl_WaCS_Multi[[#This Row],[SGEd Scopes 1,2&amp;3]])</f>
        <v>969731.09878999996</v>
      </c>
      <c r="FO5" s="44">
        <f>SUM(tbl_WaCS_Multi[[#This Row],[Electricity]]*tbl_WaCS_Multi[[#This Row],[SGEe Scopes 1&amp;2]],
tbl_WaCS_Multi[[#This Row],[Gas]]*tbl_WaCS_Multi[[#This Row],[SGEg Scopes 1&amp;2]],
tbl_WaCS_Multi[[#This Row],[LPG]]*tbl_WaCS_Multi[[#This Row],[SGEl Scopes 1&amp;2]],
tbl_WaCS_Multi[[#This Row],[Diesel]]*tbl_WaCS_Multi[[#This Row],[SGEd Scopes 1&amp;2]])</f>
        <v>893288.84124999994</v>
      </c>
      <c r="FP5" s="45">
        <f>MAX(MIN(ROUNDDOWN(tbl_WaCS_Multi[[#This Row],[Energy Star Decimal]]*2,0)/2,6),0)</f>
        <v>5.5</v>
      </c>
      <c r="FQ5" s="45">
        <f>7-3.75*tbl_WaCS_Multi[[#This Row],[Actual/Predicted Emissions]]/0.879</f>
        <v>5.9197601684302219</v>
      </c>
      <c r="FR5" s="45">
        <f>tbl_WaCS_Multi[[#This Row],[Actual Emissions]]/tbl_WaCS_Multi[[#This Row],[Predicted Emissions]]</f>
        <v>0.25320821651995601</v>
      </c>
      <c r="FS5" s="45">
        <f>SUM(tbl_WaCS_Multi[[#This Row],[Electricity]]*tbl_WaCS_Multi[[#This Row],[SGEe]],
tbl_WaCS_Multi[[#This Row],[Gas]]*tbl_WaCS_Multi[[#This Row],[SGEg]],
tbl_WaCS_Multi[[#This Row],[LPG]]*tbl_WaCS_Multi[[#This Row],[SGEl]]*tbl_WaCS_Multi[[#This Row],[CFlpg]],
tbl_WaCS_Multi[[#This Row],[Diesel]]*tbl_WaCS_Multi[[#This Row],[SGEd]])</f>
        <v>1085497.68053</v>
      </c>
    </row>
    <row r="6" spans="1:175" ht="16.5" customHeight="1">
      <c r="A6" s="622">
        <v>4.5</v>
      </c>
      <c r="B6" s="623">
        <v>3000</v>
      </c>
      <c r="C6" s="623" t="s">
        <v>1578</v>
      </c>
      <c r="D6" s="623" t="s">
        <v>654</v>
      </c>
      <c r="E6" s="623">
        <v>50000</v>
      </c>
      <c r="F6" s="623">
        <v>20000</v>
      </c>
      <c r="G6" s="624">
        <v>10000</v>
      </c>
      <c r="H6" s="624">
        <v>100000</v>
      </c>
      <c r="I6" s="624">
        <v>100000</v>
      </c>
      <c r="J6" s="624">
        <v>100</v>
      </c>
      <c r="K6" s="624">
        <v>40</v>
      </c>
      <c r="L6" s="625">
        <v>200</v>
      </c>
      <c r="M6" s="626">
        <v>1</v>
      </c>
      <c r="N6" s="626">
        <v>0</v>
      </c>
      <c r="O6" s="626">
        <v>0</v>
      </c>
      <c r="P6" s="627">
        <v>0</v>
      </c>
      <c r="Q6" s="126">
        <f>tbl_WaCS_Multi[[#This Row],[Predicted Emissions Ratio]]</f>
        <v>0.58599999999999997</v>
      </c>
      <c r="R6" s="42">
        <f>tbl_WaCS_Multi[[#This Row],[Predicted Emissions]]</f>
        <v>4286976.5264684809</v>
      </c>
      <c r="S6" s="42">
        <f>tbl_WaCS_Multi[[#This Row],[Target Max CO2]]</f>
        <v>2512168.2445105296</v>
      </c>
      <c r="T6" s="42">
        <f>tbl_WaCS_Multi[[#This Row],[Target Max GE]]</f>
        <v>2512168.2445105296</v>
      </c>
      <c r="U6" s="378">
        <f>tbl_WaCS_Multi[[#This Row],[Target Max Energy Intensity]]</f>
        <v>853.18921511678366</v>
      </c>
      <c r="V6" s="42">
        <f>tbl_WaCS_Multi[[#This Row],[Target Scopes 1,2&amp;3]]</f>
        <v>2180372.4</v>
      </c>
      <c r="W6" s="42">
        <f>tbl_WaCS_Multi[[#This Row],[Target Scopes 1&amp;2]]</f>
        <v>2014474.5</v>
      </c>
      <c r="X6" s="42">
        <f>tbl_WaCS_Multi[[#This Row],[Target Max Elec (kWh)]]</f>
        <v>2369970</v>
      </c>
      <c r="Y6" s="42">
        <f>tbl_WaCS_Multi[[#This Row],[Target Max Gas (MJ)]]</f>
        <v>0</v>
      </c>
      <c r="Z6" s="42">
        <f>tbl_WaCS_Multi[[#This Row],[Target Max LPG (L)]]</f>
        <v>0</v>
      </c>
      <c r="AA6" s="42">
        <f>tbl_WaCS_Multi[[#This Row],[Target Max Diesel (L)]]</f>
        <v>0</v>
      </c>
      <c r="AB6" s="285">
        <v>857096</v>
      </c>
      <c r="AC6" s="285">
        <v>2776993</v>
      </c>
      <c r="AD6" s="285">
        <v>0</v>
      </c>
      <c r="AE6" s="285">
        <v>7993</v>
      </c>
      <c r="AF6" s="45" t="str">
        <f>INDEX(tbl_Climate_Lookup[#Data],MATCH(tbl_WaCS_Multi[[Postcode]:[Postcode]],tbl_Climate_Lookup[[Postcode]:[Postcode]],0),MATCH(tbl_WaCS_Multi[[#Headers],[State]],tbl_Climate_Lookup[#Headers],0))</f>
        <v>VIC</v>
      </c>
      <c r="AG6" s="45">
        <f>INDEX(tbl_Climate_Lookup[#Data],MATCH(tbl_WaCS_Multi[[Postcode]:[Postcode]],tbl_Climate_Lookup[[Postcode]:[Postcode]],0),MATCH(tbl_WaCS_Multi[[#Headers],[Climate zone]],tbl_Climate_Lookup[#Headers],0))</f>
        <v>18</v>
      </c>
      <c r="AH6" s="169">
        <f>INDEX(tbl_Climate_Lookup[#Data],MATCH(tbl_WaCS_Multi[[Postcode]:[Postcode]],tbl_Climate_Lookup[[Postcode]:[Postcode]],0),MATCH(tbl_WaCS_Multi[[#Headers],[HDD]],tbl_Climate_Lookup[#Headers],0))</f>
        <v>1590</v>
      </c>
      <c r="AI6" s="169">
        <f>INDEX(tbl_Climate_Lookup[#Data],MATCH(tbl_WaCS_Multi[[Postcode]:[Postcode]],tbl_Climate_Lookup[[Postcode]:[Postcode]],0),MATCH(tbl_WaCS_Multi[[#Headers],[CDD]],tbl_Climate_Lookup[#Headers],0))</f>
        <v>100</v>
      </c>
      <c r="AJ6" s="46">
        <f>INDEX(tbl_SGE_Warehouse_2022[],MATCH(tbl_WaCS_Multi[[State]:[State]],tbl_SGE_Warehouse_2022[[State]:[State]],0),MATCH(tbl_WaCS_Multi[[#Headers],[SGEe]],tbl_SGE_Warehouse_2022[#Headers],0))</f>
        <v>1.06</v>
      </c>
      <c r="AK6" s="46">
        <f>INDEX(tbl_SGE_Warehouse_2022[],MATCH(tbl_WaCS_Multi[[State]:[State]],tbl_SGE_Warehouse_2022[[State]:[State]],0),MATCH(tbl_WaCS_Multi[[#Headers],[SGEg]],tbl_SGE_Warehouse_2022[#Headers],0))</f>
        <v>5.5530000000000003E-2</v>
      </c>
      <c r="AL6" s="46">
        <f>INDEX(tbl_SGE_Warehouse_2022[],MATCH(tbl_WaCS_Multi[[State]:[State]],tbl_SGE_Warehouse_2022[[State]:[State]],0),MATCH(tbl_WaCS_Multi[[#Headers],[SGEl]],tbl_SGE_Warehouse_2022[#Headers],0))</f>
        <v>5.5530000000000003E-2</v>
      </c>
      <c r="AM6" s="46">
        <f>INDEX(tbl_SGE_Warehouse_2022[],MATCH(tbl_WaCS_Multi[[State]:[State]],tbl_SGE_Warehouse_2022[[State]:[State]],0),MATCH(tbl_WaCS_Multi[[#Headers],[SGEd]],tbl_SGE_Warehouse_2022[#Headers],0))</f>
        <v>2.8486799999999999</v>
      </c>
      <c r="AN6" s="46">
        <f>INDEX(tbl_SGE_Warehouse_2022[],MATCH(tbl_WaCS_Multi[[State]:[State]],tbl_SGE_Warehouse_2022[[State]:[State]],0),MATCH(tbl_WaCS_Multi[[#Headers],[SGEe wrt NSW]],tbl_SGE_Warehouse_2022[#Headers],0))</f>
        <v>1.2325581395348839</v>
      </c>
      <c r="AO6" s="46">
        <f>INDEX(tbl_SGE_Warehouse_2022[],MATCH(tbl_WaCS_Multi[[State]:[State]],tbl_SGE_Warehouse_2022[[State]:[State]],0),MATCH(tbl_WaCS_Multi[[#Headers],[SGEg wrt NSW]],tbl_SGE_Warehouse_2022[#Headers],0))</f>
        <v>0.85919851462169272</v>
      </c>
      <c r="AP6" s="50">
        <f>INDEX(tbl_Conversion_Factors[[Conversion Factors]:[Conversion Factors]],MATCH(tbl_WaCS_Multi[[#Headers],[CFelec]],tbl_Conversion_Factors[[Reference]:[Reference]],0))</f>
        <v>3.6</v>
      </c>
      <c r="AQ6" s="50">
        <f>INDEX(tbl_Conversion_Factors[[Conversion Factors]:[Conversion Factors]],MATCH(tbl_WaCS_Multi[[#Headers],[CFlpg]],tbl_Conversion_Factors[[Reference]:[Reference]],0))</f>
        <v>25.7</v>
      </c>
      <c r="AR6" s="50">
        <f>INDEX(tbl_Conversion_Factors[[Conversion Factors]:[Conversion Factors]],MATCH(tbl_WaCS_Multi[[#Headers],[CFdiesel]],tbl_Conversion_Factors[[Reference]:[Reference]],0))</f>
        <v>38.6</v>
      </c>
      <c r="AS6" s="45">
        <f>tbl_WaCS_Multi[[#This Row],[SGEe]]/tbl_WaCS_Multi[[#This Row],[CFelec]]</f>
        <v>0.29444444444444445</v>
      </c>
      <c r="AT6" s="45">
        <f>tbl_WaCS_Multi[[#This Row],[SGEd]]/tbl_WaCS_Multi[[#This Row],[CFdiesel]]</f>
        <v>7.3799999999999991E-2</v>
      </c>
      <c r="AU6" s="46">
        <f>IF(SUM(tbl_WaCS_Multi[[#This Row],[Electricity (%)]:[Diesel (%)]])=1,
SUM(tbl_WaCS_Multi[[#This Row],[Electricity (%)]]*tbl_WaCS_Multi[[#This Row],[SGEeMJ]],
tbl_WaCS_Multi[[#This Row],[Gas (%)]]*tbl_WaCS_Multi[[#This Row],[SGEg]],
tbl_WaCS_Multi[[#This Row],[LPG (%)]]*tbl_WaCS_Multi[[#This Row],[SGEl]],
tbl_WaCS_Multi[[#This Row],[Diesel (%)]]*tbl_WaCS_Multi[[#This Row],[SGEdMJ]]),
0)</f>
        <v>0.29444444444444445</v>
      </c>
      <c r="AV6" s="46">
        <f>INDEX(tbl_NGA_Factors_2022[#Data],MATCH(tbl_WaCS_Multi[[State]:[State]],tbl_NGA_Factors_2022[[State]:[State]],0),MATCH(tbl_WaCS_Multi[[#Headers],[SGEe Scopes 1,2&amp;3]],tbl_NGA_Factors_2022[#Headers],0))</f>
        <v>0.91999999999999993</v>
      </c>
      <c r="AW6" s="46">
        <f>INDEX(tbl_NGA_Factors_2022[#Data],MATCH(tbl_WaCS_Multi[[State]:[State]],tbl_NGA_Factors_2022[[State]:[State]],0),MATCH(tbl_WaCS_Multi[[#Headers],[SGEg Scopes 1,2&amp;3]],tbl_NGA_Factors_2022[#Headers],0))</f>
        <v>5.5530000000000003E-2</v>
      </c>
      <c r="AX6" s="46">
        <f>INDEX(tbl_NGA_Factors_2022[#Data],MATCH(tbl_WaCS_Multi[[State]:[State]],tbl_NGA_Factors_2022[[State]:[State]],0),MATCH(tbl_WaCS_Multi[[#Headers],[SGEl Scopes 1,2&amp;3]],tbl_NGA_Factors_2022[#Headers],0))</f>
        <v>2.0765599999999997</v>
      </c>
      <c r="AY6" s="46">
        <f>INDEX(tbl_NGA_Factors_2022[#Data],MATCH(tbl_WaCS_Multi[[State]:[State]],tbl_NGA_Factors_2022[[State]:[State]],0),MATCH(tbl_WaCS_Multi[[#Headers],[SGEd Scopes 1,2&amp;3]],tbl_NGA_Factors_2022[#Headers],0))</f>
        <v>3.3775000000000004</v>
      </c>
      <c r="AZ6" s="46">
        <f>INDEX(tbl_NGA_Factors_2022[#Data],MATCH(tbl_WaCS_Multi[[State]:[State]],tbl_NGA_Factors_2022[[State]:[State]],0),MATCH(tbl_WaCS_Multi[[#Headers],[SGEe Scopes 1&amp;2]],tbl_NGA_Factors_2022[#Headers],0))</f>
        <v>0.85</v>
      </c>
      <c r="BA6" s="46">
        <f>INDEX(tbl_NGA_Factors_2022[#Data],MATCH(tbl_WaCS_Multi[[State]:[State]],tbl_NGA_Factors_2022[[State]:[State]],0),MATCH(tbl_WaCS_Multi[[#Headers],[SGEg Scopes 1&amp;2]],tbl_NGA_Factors_2022[#Headers],0))</f>
        <v>5.1529999999999999E-2</v>
      </c>
      <c r="BB6" s="46">
        <f>INDEX(tbl_NGA_Factors_2022[#Data],MATCH(tbl_WaCS_Multi[[State]:[State]],tbl_NGA_Factors_2022[[State]:[State]],0),MATCH(tbl_WaCS_Multi[[#Headers],[SGEl Scopes 1&amp;2]],tbl_NGA_Factors_2022[#Headers],0))</f>
        <v>1.55742</v>
      </c>
      <c r="BC6" s="46">
        <f>INDEX(tbl_NGA_Factors_2022[#Data],MATCH(tbl_WaCS_Multi[[State]:[State]],tbl_NGA_Factors_2022[[State]:[State]],0),MATCH(tbl_WaCS_Multi[[#Headers],[SGEd Scopes 1&amp;2]],tbl_NGA_Factors_2022[#Headers],0))</f>
        <v>2.7097199999999999</v>
      </c>
      <c r="BD6" s="45">
        <f>Warehouses_C_Conditioned_Area*tbl_WaCS_Multi[[#This Row],[Conditioned GLA]]</f>
        <v>918560</v>
      </c>
      <c r="BE6" s="45">
        <f>Warehouses_C_Non_Conditioned_Area*tbl_WaCS_Multi[[#This Row],[Non-Conditioned GLA]]</f>
        <v>223490</v>
      </c>
      <c r="BF6" s="45">
        <f>tbl_WaCS_Multi[[#This Row],[FTE]]/tbl_WaCS_Multi[[#This Row],[Total GLA]]</f>
        <v>8.0000000000000004E-4</v>
      </c>
      <c r="BG6" s="45">
        <f>1-Warehouse_C_C1_Hours_Intercept+Warehouse_C_C1_Hours_Coefficient*tbl_WaCS_Multi[[#This Row],[Hours]]</f>
        <v>1.4219999999999997</v>
      </c>
      <c r="BH6" s="45">
        <f>1-Warehouse_C_C2_Non_Refrigerated_FTE_Intercept+Warehouse_C_C2_Non_Refrigerated_FTE_Coefficient*tbl_WaCS_Multi[[#This Row],[FTEstandardized]]</f>
        <v>0.92248960000000002</v>
      </c>
      <c r="BI6" s="45">
        <f>1-Warehouse_C_C2_Non_Refrigerated_FTE_Intercept+Warehouse_C_C2_Non_Refrigerated_FTE_Coefficient*(Warehouse_C_K2_K3_Non_Refrigerated_ATR_Intercept+Warehouse_C_K2_K3_Non_Refrigerated_ATR_Coefficient*tbl_WaCS_Multi[[#This Row],[ATR]])</f>
        <v>2.1449503600000002</v>
      </c>
      <c r="BJ6" s="45">
        <f>IF(tbl_WaCS_Multi[[#This Row],[Cold Store]]="No",0,Warehouses_C_Cold_Volume*tbl_WaCS_Multi[[#This Row],[Cold Volume]])</f>
        <v>0</v>
      </c>
      <c r="BK6" s="45">
        <f>IF(tbl_WaCS_Multi[[#This Row],[Cold Store]]="No",0,Warehouses_C_Cool_Volume*tbl_WaCS_Multi[[#This Row],[Non-Conditioned GLA]])</f>
        <v>0</v>
      </c>
      <c r="BL6" s="45">
        <f>1-Warehouse_C_C2_Refrigerated_FTE_Intercept+Warehouse_C_C2_Refrigerated_FTE_Coefficient*tbl_WaCS_Multi[[#This Row],[FTEstandardized]]</f>
        <v>0.73370079999999993</v>
      </c>
      <c r="BM6" s="45">
        <f>1-Warehouse_C_C2_Refrigerated_FTE_Intercept+Warehouse_C_C2_Refrigerated_FTE_Coefficient*(Warehouse_C_K2_K3_Non_Refrigerated_ATR_Intercept+Warehouse_C_K2_K3_Non_Refrigerated_ATR_Coefficient*tbl_WaCS_Multi[[#This Row],[ATR]])</f>
        <v>4.2955997799999999</v>
      </c>
      <c r="BN6" s="45">
        <f>SUM(Warehouses_C_Conditioned_Area*tbl_WaCS_Multi[[#This Row],[Conditioned GLA]],Warehouses_C_Non_Conditioned_Area*tbl_WaCS_Multi[[#This Row],[Non-Conditioned GLA]])*tbl_WaCS_Multi[[#This Row],[C1]]*tbl_WaCS_Multi[[#This Row],[C2]]</f>
        <v>1498118.5902009597</v>
      </c>
      <c r="BO6" s="45">
        <f>IF(tbl_WaCS_Multi[[#This Row],[Cold Store]]="No",0,(Warehouses_C_Cold_Volume*tbl_WaCS_Multi[[#This Row],[Cold Volume]]+Warehouses_C_Cool_Volume*tbl_WaCS_Multi[[#This Row],[Cool Volume]])*tbl_WaCS_Multi[[#This Row],[C3]])</f>
        <v>0</v>
      </c>
      <c r="BP6" s="45">
        <f>SUM(tbl_WaCS_Multi[[#This Row],[(45.928CG+22.349NCG)C1C2]],tbl_WaCS_Multi[[#This Row],[(32.537CDV+24.854CLV)C3]])</f>
        <v>1498118.5902009597</v>
      </c>
      <c r="BQ6" s="45">
        <f>(Warehouse_C_Adjustment_Elec*tbl_WaCS_Multi[[#This Row],[Bori1FTE]]*tbl_WaCS_Multi[[#This Row],[SGEe wrt NSW]])+(Warehouse_C_Adjustment_Gas*tbl_WaCS_Multi[[#This Row],[Bori1FTE]]*tbl_WaCS_Multi[[#This Row],[SGEg wrt NSW]])</f>
        <v>1843721.5773661535</v>
      </c>
      <c r="BR6" s="45">
        <f>SUM(Warehouses_C_Conditioned_Area*tbl_WaCS_Multi[[#This Row],[Conditioned GLA]],Warehouses_C_Non_Conditioned_Area*tbl_WaCS_Multi[[#This Row],[Non-Conditioned GLA]])*tbl_WaCS_Multi[[#This Row],[C1]]*tbl_WaCS_Multi[[#This Row],[K2]]</f>
        <v>3483388.8743832354</v>
      </c>
      <c r="BS6" s="45">
        <f>IF(tbl_WaCS_Multi[[#This Row],[Cold Store]]="No",0,(Warehouses_C_Cold_Volume*tbl_WaCS_Multi[[#This Row],[Cold Volume]]+Warehouses_C_Cool_Volume*tbl_WaCS_Multi[[#This Row],[Cool Volume]])*tbl_WaCS_Multi[[#This Row],[K3]])</f>
        <v>0</v>
      </c>
      <c r="BT6" s="45">
        <f>SUM(tbl_WaCS_Multi[[#This Row],[(45.928CG+22.349NCG)C1K2]],tbl_WaCS_Multi[[#This Row],[(32.537CDV+24.854CLV)K3]])</f>
        <v>3483388.8743832354</v>
      </c>
      <c r="BU6" s="45">
        <f>(Warehouse_C_Adjustment_Elec*tbl_WaCS_Multi[[#This Row],[Bori2ATR]]*tbl_WaCS_Multi[[#This Row],[SGEe wrt NSW]])+(Warehouse_C_Adjustment_Gas*tbl_WaCS_Multi[[#This Row],[Bori2ATR]]*tbl_WaCS_Multi[[#This Row],[SGEg wrt NSW]])</f>
        <v>4286976.5264684809</v>
      </c>
      <c r="BV6" s="45">
        <f>IF(tbl_WaCS_Multi[[#This Row],[FTRE of ATR]]="FTE",tbl_WaCS_Multi[[#This Row],[Badjusted1FTE]],
IF(tbl_WaCS_Multi[[#This Row],[FTRE of ATR]]="ATR",tbl_WaCS_Multi[[#This Row],[Badjusted2ATR]],
MAX(tbl_WaCS_Multi[[#This Row],[Badjusted1FTE]],tbl_WaCS_Multi[[#This Row],[Badjusted2ATR]])))</f>
        <v>4286976.5264684809</v>
      </c>
      <c r="BW6" s="36">
        <f>((tbl_WaCS_Multi[[#This Row],[Target Energy]]-7)/-3.75)*0.879</f>
        <v>0.58599999999999997</v>
      </c>
      <c r="BX6" s="36">
        <f>tbl_WaCS_Multi[[#This Row],[Predicted Emissions]]*tbl_WaCS_Multi[[#This Row],[Predicted Emissions Ratio]]</f>
        <v>2512168.2445105296</v>
      </c>
      <c r="BY6" s="44">
        <f>tbl_WaCS_Multi[[#This Row],[Target Max GE]]</f>
        <v>2512168.2445105296</v>
      </c>
      <c r="BZ6" s="44">
        <f>tbl_WaCS_Multi[[#This Row],[Target Max CO2]]/tbl_WaCS_Multi[[#This Row],[EffGHGMJ]]</f>
        <v>8531892.151167836</v>
      </c>
      <c r="CA6" s="44">
        <f>tbl_WaCS_Multi[[#This Row],[Target Max Energy (MJ)]]/tbl_WaCS_Multi[[#This Row],[Non-Conditioned GLA]]</f>
        <v>853.18921511678366</v>
      </c>
      <c r="CB6" s="44">
        <f>ROUNDDOWN(tbl_WaCS_Multi[[#This Row],[Target Max Energy (MJ)]]*tbl_WaCS_Multi[[#This Row],[Electricity (%)]]/tbl_WaCS_Multi[[#This Row],[CFelec]],0)</f>
        <v>2369970</v>
      </c>
      <c r="CC6" s="44">
        <f>ROUNDDOWN(tbl_WaCS_Multi[[#This Row],[Target Max Energy (MJ)]]*tbl_WaCS_Multi[[#This Row],[Gas (%)]],0)</f>
        <v>0</v>
      </c>
      <c r="CD6" s="44">
        <f>ROUNDDOWN(tbl_WaCS_Multi[[#This Row],[Target Max Energy (MJ)]]*tbl_WaCS_Multi[[#This Row],[LPG (%)]]/tbl_WaCS_Multi[[#This Row],[CFlpg]],0)</f>
        <v>0</v>
      </c>
      <c r="CE6" s="44">
        <f>ROUNDDOWN(tbl_WaCS_Multi[[#This Row],[Target Max Energy (MJ)]]*tbl_WaCS_Multi[[#This Row],[Diesel (%)]]/tbl_WaCS_Multi[[#This Row],[CFdiesel]],0)</f>
        <v>0</v>
      </c>
      <c r="CF6" s="44">
        <f>SUM(tbl_WaCS_Multi[[#This Row],[Target Max Elec (kWh)]]*tbl_WaCS_Multi[[#This Row],[SGEe Scopes 1,2&amp;3]],
tbl_WaCS_Multi[[#This Row],[Target Max Gas (MJ)]]*tbl_WaCS_Multi[[#This Row],[SGEg Scopes 1,2&amp;3]],
tbl_WaCS_Multi[[#This Row],[Target Max LPG (L)]]*tbl_WaCS_Multi[[#This Row],[SGEl Scopes 1,2&amp;3]],
tbl_WaCS_Multi[[#This Row],[Target Max Diesel (L)]]*tbl_WaCS_Multi[[#This Row],[SGEd Scopes 1,2&amp;3]])</f>
        <v>2180372.4</v>
      </c>
      <c r="CG6" s="44">
        <f>SUM(tbl_WaCS_Multi[[#This Row],[Target Max Elec (kWh)]]*tbl_WaCS_Multi[[#This Row],[SGEe Scopes 1&amp;2]],
tbl_WaCS_Multi[[#This Row],[Target Max Gas (MJ)]]*tbl_WaCS_Multi[[#This Row],[SGEg Scopes 1&amp;2]],
tbl_WaCS_Multi[[#This Row],[Target Max LPG (L)]]*tbl_WaCS_Multi[[#This Row],[SGEl Scopes 1&amp;2]],
tbl_WaCS_Multi[[#This Row],[Target Max Diesel (L)]]*tbl_WaCS_Multi[[#This Row],[SGEd Scopes 1&amp;2]])</f>
        <v>2014474.5</v>
      </c>
      <c r="CH6" s="36">
        <f>((LEFT(tbl_WaCS_Multi[[#Headers],[6.0* Max Predicted Emissions Ratio]],3)-7)/-3.75)*0.879</f>
        <v>0.2344</v>
      </c>
      <c r="CI6" s="36">
        <f>((LEFT(tbl_WaCS_Multi[[#Headers],[5.5* Max Predicted Emissions Ratio]],3)-7)/-3.75)*0.879</f>
        <v>0.35160000000000002</v>
      </c>
      <c r="CJ6" s="36">
        <f>((LEFT(tbl_WaCS_Multi[[#Headers],[5.0* Max Predicted Emissions Ratio]],3)-7)/-3.75)*0.879</f>
        <v>0.46879999999999999</v>
      </c>
      <c r="CK6" s="36">
        <f>((LEFT(tbl_WaCS_Multi[[#Headers],[4.5* Max Predicted Emissions Ratio]],3)-7)/-3.75)*0.879</f>
        <v>0.58599999999999997</v>
      </c>
      <c r="CL6" s="36">
        <f>((LEFT(tbl_WaCS_Multi[[#Headers],[4.0* Max Predicted Emissions Ratio]],3)-7)/-3.75)*0.879</f>
        <v>0.70320000000000005</v>
      </c>
      <c r="CM6" s="36">
        <f>((LEFT(tbl_WaCS_Multi[[#Headers],[3.5* Max Predicted Emissions Ratio]],3)-7)/-3.75)*0.879</f>
        <v>0.82040000000000002</v>
      </c>
      <c r="CN6" s="36">
        <f>((LEFT(tbl_WaCS_Multi[[#Headers],[3.0* Max Predicted Emissions Ratio]],3)-7)/-3.75)*0.879</f>
        <v>0.93759999999999999</v>
      </c>
      <c r="CO6" s="36">
        <f>((LEFT(tbl_WaCS_Multi[[#Headers],[2.5* Max Predicted Emissions Ratio]],3)-7)/-3.75)*0.879</f>
        <v>1.0548</v>
      </c>
      <c r="CP6" s="36">
        <f>((LEFT(tbl_WaCS_Multi[[#Headers],[2.0* Max Predicted Emissions Ratio]],3)-7)/-3.75)*0.879</f>
        <v>1.1719999999999999</v>
      </c>
      <c r="CQ6" s="36">
        <f>((LEFT(tbl_WaCS_Multi[[#Headers],[1.5* Max Predicted Emissions Ratio]],3)-7)/-3.75)*0.879</f>
        <v>1.2891999999999999</v>
      </c>
      <c r="CR6" s="36">
        <f>((LEFT(tbl_WaCS_Multi[[#Headers],[1.0* Max Predicted Emissions Ratio]],3)-7)/-3.75)*0.879</f>
        <v>1.4064000000000001</v>
      </c>
      <c r="CS6" s="36">
        <f>((LEFT(tbl_WaCS_Multi[[#Headers],[0.0* Max Predicted Emissions Ratio]],3)-7)/-3.75)*0.879</f>
        <v>1.6408</v>
      </c>
      <c r="CT6" s="44">
        <f>tbl_WaCS_Multi[[Predicted Emissions]:[Predicted Emissions]]*tbl_WaCS_Multi[[#This Row],[6.0* Max Predicted Emissions Ratio]]</f>
        <v>1004867.297804212</v>
      </c>
      <c r="CU6" s="44">
        <f>tbl_WaCS_Multi[[Predicted Emissions]:[Predicted Emissions]]*tbl_WaCS_Multi[[#This Row],[5.5* Max Predicted Emissions Ratio]]</f>
        <v>1507300.9467063181</v>
      </c>
      <c r="CV6" s="44">
        <f>tbl_WaCS_Multi[[Predicted Emissions]:[Predicted Emissions]]*tbl_WaCS_Multi[[#This Row],[5.0* Max Predicted Emissions Ratio]]</f>
        <v>2009734.5956084239</v>
      </c>
      <c r="CW6" s="44">
        <f>tbl_WaCS_Multi[[Predicted Emissions]:[Predicted Emissions]]*tbl_WaCS_Multi[[#This Row],[4.5* Max Predicted Emissions Ratio]]</f>
        <v>2512168.2445105296</v>
      </c>
      <c r="CX6" s="44">
        <f>tbl_WaCS_Multi[[Predicted Emissions]:[Predicted Emissions]]*tbl_WaCS_Multi[[#This Row],[4.0* Max Predicted Emissions Ratio]]</f>
        <v>3014601.8934126361</v>
      </c>
      <c r="CY6" s="44">
        <f>tbl_WaCS_Multi[[Predicted Emissions]:[Predicted Emissions]]*tbl_WaCS_Multi[[#This Row],[3.5* Max Predicted Emissions Ratio]]</f>
        <v>3517035.5423147418</v>
      </c>
      <c r="CZ6" s="44">
        <f>tbl_WaCS_Multi[[Predicted Emissions]:[Predicted Emissions]]*tbl_WaCS_Multi[[#This Row],[3.0* Max Predicted Emissions Ratio]]</f>
        <v>4019469.1912168479</v>
      </c>
      <c r="DA6" s="44">
        <f>tbl_WaCS_Multi[[Predicted Emissions]:[Predicted Emissions]]*tbl_WaCS_Multi[[#This Row],[2.5* Max Predicted Emissions Ratio]]</f>
        <v>4521902.840118954</v>
      </c>
      <c r="DB6" s="44">
        <f>tbl_WaCS_Multi[[Predicted Emissions]:[Predicted Emissions]]*tbl_WaCS_Multi[[#This Row],[2.0* Max Predicted Emissions Ratio]]</f>
        <v>5024336.4890210591</v>
      </c>
      <c r="DC6" s="44">
        <f>tbl_WaCS_Multi[[Predicted Emissions]:[Predicted Emissions]]*tbl_WaCS_Multi[[#This Row],[1.5* Max Predicted Emissions Ratio]]</f>
        <v>5526770.1379231652</v>
      </c>
      <c r="DD6" s="44">
        <f>tbl_WaCS_Multi[[Predicted Emissions]:[Predicted Emissions]]*tbl_WaCS_Multi[[#This Row],[1.0* Max Predicted Emissions Ratio]]</f>
        <v>6029203.7868252723</v>
      </c>
      <c r="DE6" s="44">
        <f>tbl_WaCS_Multi[[Predicted Emissions]:[Predicted Emissions]]*tbl_WaCS_Multi[[#This Row],[0.0* Max Predicted Emissions Ratio]]</f>
        <v>7034071.0846294835</v>
      </c>
      <c r="DF6" s="44">
        <f>tbl_WaCS_Multi[[#This Row],[6.0* Max CO2]]/tbl_WaCS_Multi[[EffGHGMJ]:[EffGHGMJ]]</f>
        <v>3412756.860467135</v>
      </c>
      <c r="DG6" s="44">
        <f>tbl_WaCS_Multi[[#This Row],[5.5* Max CO2]]/tbl_WaCS_Multi[[EffGHGMJ]:[EffGHGMJ]]</f>
        <v>5119135.2907007029</v>
      </c>
      <c r="DH6" s="44">
        <f>tbl_WaCS_Multi[[#This Row],[5.0* Max CO2]]/tbl_WaCS_Multi[[EffGHGMJ]:[EffGHGMJ]]</f>
        <v>6825513.7209342699</v>
      </c>
      <c r="DI6" s="44">
        <f>tbl_WaCS_Multi[[#This Row],[4.5* Max CO2]]/tbl_WaCS_Multi[[EffGHGMJ]:[EffGHGMJ]]</f>
        <v>8531892.151167836</v>
      </c>
      <c r="DJ6" s="44">
        <f>tbl_WaCS_Multi[[#This Row],[4.0* Max CO2]]/tbl_WaCS_Multi[[EffGHGMJ]:[EffGHGMJ]]</f>
        <v>10238270.581401406</v>
      </c>
      <c r="DK6" s="44">
        <f>tbl_WaCS_Multi[[#This Row],[3.5* Max CO2]]/tbl_WaCS_Multi[[EffGHGMJ]:[EffGHGMJ]]</f>
        <v>11944649.011634972</v>
      </c>
      <c r="DL6" s="44">
        <f>tbl_WaCS_Multi[[#This Row],[3.0* Max CO2]]/tbl_WaCS_Multi[[EffGHGMJ]:[EffGHGMJ]]</f>
        <v>13651027.44186854</v>
      </c>
      <c r="DM6" s="44">
        <f>tbl_WaCS_Multi[[#This Row],[2.5* Max CO2]]/tbl_WaCS_Multi[[EffGHGMJ]:[EffGHGMJ]]</f>
        <v>15357405.872102108</v>
      </c>
      <c r="DN6" s="44">
        <f>tbl_WaCS_Multi[[#This Row],[2.0* Max CO2]]/tbl_WaCS_Multi[[EffGHGMJ]:[EffGHGMJ]]</f>
        <v>17063784.302335672</v>
      </c>
      <c r="DO6" s="44">
        <f>tbl_WaCS_Multi[[#This Row],[1.5* Max CO2]]/tbl_WaCS_Multi[[EffGHGMJ]:[EffGHGMJ]]</f>
        <v>18770162.73256924</v>
      </c>
      <c r="DP6" s="44">
        <f>tbl_WaCS_Multi[[#This Row],[1.0* Max CO2]]/tbl_WaCS_Multi[[EffGHGMJ]:[EffGHGMJ]]</f>
        <v>20476541.162802812</v>
      </c>
      <c r="DQ6" s="44">
        <f>tbl_WaCS_Multi[[#This Row],[0.0* Max CO2]]/tbl_WaCS_Multi[[EffGHGMJ]:[EffGHGMJ]]</f>
        <v>23889298.023269944</v>
      </c>
      <c r="DR6" s="44">
        <f>ROUNDDOWN(tbl_WaCS_Multi[[#This Row],[6.0* Max Energy (MJ)]]*tbl_WaCS_Multi[[Electricity (%)]:[Electricity (%)]]/tbl_WaCS_Multi[[CFelec]:[CFelec]],0)</f>
        <v>947988</v>
      </c>
      <c r="DS6" s="44">
        <f>ROUNDDOWN(tbl_WaCS_Multi[[#This Row],[5.5* Max Energy (MJ)]]*tbl_WaCS_Multi[[Electricity (%)]:[Electricity (%)]]/tbl_WaCS_Multi[[CFelec]:[CFelec]],0)</f>
        <v>1421982</v>
      </c>
      <c r="DT6" s="44">
        <f>ROUNDDOWN(tbl_WaCS_Multi[[#This Row],[5.0* Max Energy (MJ)]]*tbl_WaCS_Multi[[Electricity (%)]:[Electricity (%)]]/tbl_WaCS_Multi[[CFelec]:[CFelec]],0)</f>
        <v>1895976</v>
      </c>
      <c r="DU6" s="44">
        <f>ROUNDDOWN(tbl_WaCS_Multi[[#This Row],[4.5* Max Energy (MJ)]]*tbl_WaCS_Multi[[Electricity (%)]:[Electricity (%)]]/tbl_WaCS_Multi[[CFelec]:[CFelec]],0)</f>
        <v>2369970</v>
      </c>
      <c r="DV6" s="44">
        <f>ROUNDDOWN(tbl_WaCS_Multi[[#This Row],[4.0* Max Energy (MJ)]]*tbl_WaCS_Multi[[Electricity (%)]:[Electricity (%)]]/tbl_WaCS_Multi[[CFelec]:[CFelec]],0)</f>
        <v>2843964</v>
      </c>
      <c r="DW6" s="44">
        <f>ROUNDDOWN(tbl_WaCS_Multi[[#This Row],[3.5* Max Energy (MJ)]]*tbl_WaCS_Multi[[Electricity (%)]:[Electricity (%)]]/tbl_WaCS_Multi[[CFelec]:[CFelec]],0)</f>
        <v>3317958</v>
      </c>
      <c r="DX6" s="44">
        <f>ROUNDDOWN(tbl_WaCS_Multi[[#This Row],[3.0* Max Energy (MJ)]]*tbl_WaCS_Multi[[Electricity (%)]:[Electricity (%)]]/tbl_WaCS_Multi[[CFelec]:[CFelec]],0)</f>
        <v>3791952</v>
      </c>
      <c r="DY6" s="44">
        <f>ROUNDDOWN(tbl_WaCS_Multi[[#This Row],[2.5* Max Energy (MJ)]]*tbl_WaCS_Multi[[Electricity (%)]:[Electricity (%)]]/tbl_WaCS_Multi[[CFelec]:[CFelec]],0)</f>
        <v>4265946</v>
      </c>
      <c r="DZ6" s="44">
        <f>ROUNDDOWN(tbl_WaCS_Multi[[#This Row],[2.0* Max Energy (MJ)]]*tbl_WaCS_Multi[[Electricity (%)]:[Electricity (%)]]/tbl_WaCS_Multi[[CFelec]:[CFelec]],0)</f>
        <v>4739940</v>
      </c>
      <c r="EA6" s="44">
        <f>ROUNDDOWN(tbl_WaCS_Multi[[#This Row],[1.5* Max Energy (MJ)]]*tbl_WaCS_Multi[[Electricity (%)]:[Electricity (%)]]/tbl_WaCS_Multi[[CFelec]:[CFelec]],0)</f>
        <v>5213934</v>
      </c>
      <c r="EB6" s="44">
        <f>ROUNDDOWN(tbl_WaCS_Multi[[#This Row],[1.0* Max Energy (MJ)]]*tbl_WaCS_Multi[[Electricity (%)]:[Electricity (%)]]/tbl_WaCS_Multi[[CFelec]:[CFelec]],0)</f>
        <v>5687928</v>
      </c>
      <c r="EC6" s="44">
        <f>ROUNDDOWN(tbl_WaCS_Multi[[#This Row],[0.0* Max Energy (MJ)]]*tbl_WaCS_Multi[[Electricity (%)]:[Electricity (%)]]/tbl_WaCS_Multi[[CFelec]:[CFelec]],0)</f>
        <v>6635916</v>
      </c>
      <c r="ED6" s="44">
        <f>ROUNDDOWN(tbl_WaCS_Multi[[#This Row],[6.0* Max Energy (MJ)]]*tbl_WaCS_Multi[[Gas (%)]:[Gas (%)]],0)</f>
        <v>0</v>
      </c>
      <c r="EE6" s="44">
        <f>ROUNDDOWN(tbl_WaCS_Multi[[#This Row],[5.5* Max Energy (MJ)]]*tbl_WaCS_Multi[[Gas (%)]:[Gas (%)]],0)</f>
        <v>0</v>
      </c>
      <c r="EF6" s="44">
        <f>ROUNDDOWN(tbl_WaCS_Multi[[#This Row],[5.0* Max Energy (MJ)]]*tbl_WaCS_Multi[[Gas (%)]:[Gas (%)]],0)</f>
        <v>0</v>
      </c>
      <c r="EG6" s="44">
        <f>ROUNDDOWN(tbl_WaCS_Multi[[#This Row],[4.5* Max Energy (MJ)]]*tbl_WaCS_Multi[[Gas (%)]:[Gas (%)]],0)</f>
        <v>0</v>
      </c>
      <c r="EH6" s="44">
        <f>ROUNDDOWN(tbl_WaCS_Multi[[#This Row],[4.0* Max Energy (MJ)]]*tbl_WaCS_Multi[[Gas (%)]:[Gas (%)]],0)</f>
        <v>0</v>
      </c>
      <c r="EI6" s="44">
        <f>ROUNDDOWN(tbl_WaCS_Multi[[#This Row],[3.5* Max Energy (MJ)]]*tbl_WaCS_Multi[[Gas (%)]:[Gas (%)]],0)</f>
        <v>0</v>
      </c>
      <c r="EJ6" s="44">
        <f>ROUNDDOWN(tbl_WaCS_Multi[[#This Row],[3.0* Max Energy (MJ)]]*tbl_WaCS_Multi[[Gas (%)]:[Gas (%)]],0)</f>
        <v>0</v>
      </c>
      <c r="EK6" s="44">
        <f>ROUNDDOWN(tbl_WaCS_Multi[[#This Row],[2.5* Max Energy (MJ)]]*tbl_WaCS_Multi[[Gas (%)]:[Gas (%)]],0)</f>
        <v>0</v>
      </c>
      <c r="EL6" s="44">
        <f>ROUNDDOWN(tbl_WaCS_Multi[[#This Row],[2.0* Max Energy (MJ)]]*tbl_WaCS_Multi[[Gas (%)]:[Gas (%)]],0)</f>
        <v>0</v>
      </c>
      <c r="EM6" s="44">
        <f>ROUNDDOWN(tbl_WaCS_Multi[[#This Row],[1.5* Max Energy (MJ)]]*tbl_WaCS_Multi[[Gas (%)]:[Gas (%)]],0)</f>
        <v>0</v>
      </c>
      <c r="EN6" s="44">
        <f>ROUNDDOWN(tbl_WaCS_Multi[[#This Row],[1.0* Max Energy (MJ)]]*tbl_WaCS_Multi[[Gas (%)]:[Gas (%)]],0)</f>
        <v>0</v>
      </c>
      <c r="EO6" s="44">
        <f>ROUNDDOWN(tbl_WaCS_Multi[[#This Row],[0.0* Max Energy (MJ)]]*tbl_WaCS_Multi[[Gas (%)]:[Gas (%)]],0)</f>
        <v>0</v>
      </c>
      <c r="EP6" s="44">
        <f>ROUNDDOWN(tbl_WaCS_Multi[[#This Row],[6.0* Max Energy (MJ)]]*tbl_WaCS_Multi[[LPG (%)]:[LPG (%)]]/tbl_WaCS_Multi[[CFlpg]:[CFlpg]],0)</f>
        <v>0</v>
      </c>
      <c r="EQ6" s="44">
        <f>ROUNDDOWN(tbl_WaCS_Multi[[#This Row],[5.5* Max Energy (MJ)]]*tbl_WaCS_Multi[[LPG (%)]:[LPG (%)]]/tbl_WaCS_Multi[[CFlpg]:[CFlpg]],0)</f>
        <v>0</v>
      </c>
      <c r="ER6" s="44">
        <f>ROUNDDOWN(tbl_WaCS_Multi[[#This Row],[5.0* Max Energy (MJ)]]*tbl_WaCS_Multi[[LPG (%)]:[LPG (%)]]/tbl_WaCS_Multi[[CFlpg]:[CFlpg]],0)</f>
        <v>0</v>
      </c>
      <c r="ES6" s="44">
        <f>ROUNDDOWN(tbl_WaCS_Multi[[#This Row],[4.5* Max Energy (MJ)]]*tbl_WaCS_Multi[[LPG (%)]:[LPG (%)]]/tbl_WaCS_Multi[[CFlpg]:[CFlpg]],0)</f>
        <v>0</v>
      </c>
      <c r="ET6" s="44">
        <f>ROUNDDOWN(tbl_WaCS_Multi[[#This Row],[4.0* Max Energy (MJ)]]*tbl_WaCS_Multi[[LPG (%)]:[LPG (%)]]/tbl_WaCS_Multi[[CFlpg]:[CFlpg]],0)</f>
        <v>0</v>
      </c>
      <c r="EU6" s="44">
        <f>ROUNDDOWN(tbl_WaCS_Multi[[#This Row],[3.5* Max Energy (MJ)]]*tbl_WaCS_Multi[[LPG (%)]:[LPG (%)]]/tbl_WaCS_Multi[[CFlpg]:[CFlpg]],0)</f>
        <v>0</v>
      </c>
      <c r="EV6" s="44">
        <f>ROUNDDOWN(tbl_WaCS_Multi[[#This Row],[3.0* Max Energy (MJ)]]*tbl_WaCS_Multi[[LPG (%)]:[LPG (%)]]/tbl_WaCS_Multi[[CFlpg]:[CFlpg]],0)</f>
        <v>0</v>
      </c>
      <c r="EW6" s="44">
        <f>ROUNDDOWN(tbl_WaCS_Multi[[#This Row],[2.5* Max Energy (MJ)]]*tbl_WaCS_Multi[[LPG (%)]:[LPG (%)]]/tbl_WaCS_Multi[[CFlpg]:[CFlpg]],0)</f>
        <v>0</v>
      </c>
      <c r="EX6" s="44">
        <f>ROUNDDOWN(tbl_WaCS_Multi[[#This Row],[2.0* Max Energy (MJ)]]*tbl_WaCS_Multi[[LPG (%)]:[LPG (%)]]/tbl_WaCS_Multi[[CFlpg]:[CFlpg]],0)</f>
        <v>0</v>
      </c>
      <c r="EY6" s="44">
        <f>ROUNDDOWN(tbl_WaCS_Multi[[#This Row],[1.5* Max Energy (MJ)]]*tbl_WaCS_Multi[[LPG (%)]:[LPG (%)]]/tbl_WaCS_Multi[[CFlpg]:[CFlpg]],0)</f>
        <v>0</v>
      </c>
      <c r="EZ6" s="44">
        <f>ROUNDDOWN(tbl_WaCS_Multi[[#This Row],[1.0* Max Energy (MJ)]]*tbl_WaCS_Multi[[LPG (%)]:[LPG (%)]]/tbl_WaCS_Multi[[CFlpg]:[CFlpg]],0)</f>
        <v>0</v>
      </c>
      <c r="FA6" s="44">
        <f>ROUNDDOWN(tbl_WaCS_Multi[[#This Row],[0.0* Max Energy (MJ)]]*tbl_WaCS_Multi[[LPG (%)]:[LPG (%)]]/tbl_WaCS_Multi[[CFlpg]:[CFlpg]],0)</f>
        <v>0</v>
      </c>
      <c r="FB6" s="44">
        <f>ROUNDDOWN(tbl_WaCS_Multi[[#This Row],[6.0* Max Energy (MJ)]]*tbl_WaCS_Multi[[Diesel (%)]:[Diesel (%)]]/tbl_WaCS_Multi[[CFdiesel]:[CFdiesel]],0)</f>
        <v>0</v>
      </c>
      <c r="FC6" s="44">
        <f>ROUNDDOWN(tbl_WaCS_Multi[[#This Row],[5.5* Max Energy (MJ)]]*tbl_WaCS_Multi[[Diesel (%)]:[Diesel (%)]]/tbl_WaCS_Multi[[CFdiesel]:[CFdiesel]],0)</f>
        <v>0</v>
      </c>
      <c r="FD6" s="44">
        <f>ROUNDDOWN(tbl_WaCS_Multi[[#This Row],[5.0* Max Energy (MJ)]]*tbl_WaCS_Multi[[Diesel (%)]:[Diesel (%)]]/tbl_WaCS_Multi[[CFdiesel]:[CFdiesel]],0)</f>
        <v>0</v>
      </c>
      <c r="FE6" s="44">
        <f>ROUNDDOWN(tbl_WaCS_Multi[[#This Row],[4.5* Max Energy (MJ)]]*tbl_WaCS_Multi[[Diesel (%)]:[Diesel (%)]]/tbl_WaCS_Multi[[CFdiesel]:[CFdiesel]],0)</f>
        <v>0</v>
      </c>
      <c r="FF6" s="44">
        <f>ROUNDDOWN(tbl_WaCS_Multi[[#This Row],[4.0* Max Energy (MJ)]]*tbl_WaCS_Multi[[Diesel (%)]:[Diesel (%)]]/tbl_WaCS_Multi[[CFdiesel]:[CFdiesel]],0)</f>
        <v>0</v>
      </c>
      <c r="FG6" s="44">
        <f>ROUNDDOWN(tbl_WaCS_Multi[[#This Row],[3.5* Max Energy (MJ)]]*tbl_WaCS_Multi[[Diesel (%)]:[Diesel (%)]]/tbl_WaCS_Multi[[CFdiesel]:[CFdiesel]],0)</f>
        <v>0</v>
      </c>
      <c r="FH6" s="44">
        <f>ROUNDDOWN(tbl_WaCS_Multi[[#This Row],[3.0* Max Energy (MJ)]]*tbl_WaCS_Multi[[Diesel (%)]:[Diesel (%)]]/tbl_WaCS_Multi[[CFdiesel]:[CFdiesel]],0)</f>
        <v>0</v>
      </c>
      <c r="FI6" s="44">
        <f>ROUNDDOWN(tbl_WaCS_Multi[[#This Row],[2.5* Max Energy (MJ)]]*tbl_WaCS_Multi[[Diesel (%)]:[Diesel (%)]]/tbl_WaCS_Multi[[CFdiesel]:[CFdiesel]],0)</f>
        <v>0</v>
      </c>
      <c r="FJ6" s="44">
        <f>ROUNDDOWN(tbl_WaCS_Multi[[#This Row],[2.0* Max Energy (MJ)]]*tbl_WaCS_Multi[[Diesel (%)]:[Diesel (%)]]/tbl_WaCS_Multi[[CFdiesel]:[CFdiesel]],0)</f>
        <v>0</v>
      </c>
      <c r="FK6" s="44">
        <f>ROUNDDOWN(tbl_WaCS_Multi[[#This Row],[1.5* Max Energy (MJ)]]*tbl_WaCS_Multi[[Diesel (%)]:[Diesel (%)]]/tbl_WaCS_Multi[[CFdiesel]:[CFdiesel]],0)</f>
        <v>0</v>
      </c>
      <c r="FL6" s="44">
        <f>ROUNDDOWN(tbl_WaCS_Multi[[#This Row],[1.0* Max Energy (MJ)]]*tbl_WaCS_Multi[[Diesel (%)]:[Diesel (%)]]/tbl_WaCS_Multi[[CFdiesel]:[CFdiesel]],0)</f>
        <v>0</v>
      </c>
      <c r="FM6" s="44">
        <f>ROUNDDOWN(tbl_WaCS_Multi[[#This Row],[0.0* Max Energy (MJ)]]*tbl_WaCS_Multi[[Diesel (%)]:[Diesel (%)]]/tbl_WaCS_Multi[[CFdiesel]:[CFdiesel]],0)</f>
        <v>0</v>
      </c>
      <c r="FN6" s="44">
        <f>SUM(tbl_WaCS_Multi[[#This Row],[Electricity]]*tbl_WaCS_Multi[[#This Row],[SGEe Scopes 1,2&amp;3]],
tbl_WaCS_Multi[[#This Row],[Gas]]*tbl_WaCS_Multi[[#This Row],[SGEg Scopes 1,2&amp;3]],
tbl_WaCS_Multi[[#This Row],[LPG]]*tbl_WaCS_Multi[[#This Row],[SGEl Scopes 1,2&amp;3]],
tbl_WaCS_Multi[[#This Row],[Diesel]]*tbl_WaCS_Multi[[#This Row],[SGEd Scopes 1,2&amp;3]])</f>
        <v>969731.09878999996</v>
      </c>
      <c r="FO6" s="44">
        <f>SUM(tbl_WaCS_Multi[[#This Row],[Electricity]]*tbl_WaCS_Multi[[#This Row],[SGEe Scopes 1&amp;2]],
tbl_WaCS_Multi[[#This Row],[Gas]]*tbl_WaCS_Multi[[#This Row],[SGEg Scopes 1&amp;2]],
tbl_WaCS_Multi[[#This Row],[LPG]]*tbl_WaCS_Multi[[#This Row],[SGEl Scopes 1&amp;2]],
tbl_WaCS_Multi[[#This Row],[Diesel]]*tbl_WaCS_Multi[[#This Row],[SGEd Scopes 1&amp;2]])</f>
        <v>893288.84124999994</v>
      </c>
      <c r="FP6" s="45">
        <f>MAX(MIN(ROUNDDOWN(tbl_WaCS_Multi[[#This Row],[Energy Star Decimal]]*2,0)/2,6),0)</f>
        <v>5.5</v>
      </c>
      <c r="FQ6" s="45">
        <f>7-3.75*tbl_WaCS_Multi[[#This Row],[Actual/Predicted Emissions]]/0.879</f>
        <v>5.9197601684302219</v>
      </c>
      <c r="FR6" s="45">
        <f>tbl_WaCS_Multi[[#This Row],[Actual Emissions]]/tbl_WaCS_Multi[[#This Row],[Predicted Emissions]]</f>
        <v>0.25320821651995601</v>
      </c>
      <c r="FS6" s="45">
        <f>SUM(tbl_WaCS_Multi[[#This Row],[Electricity]]*tbl_WaCS_Multi[[#This Row],[SGEe]],
tbl_WaCS_Multi[[#This Row],[Gas]]*tbl_WaCS_Multi[[#This Row],[SGEg]],
tbl_WaCS_Multi[[#This Row],[LPG]]*tbl_WaCS_Multi[[#This Row],[SGEl]]*tbl_WaCS_Multi[[#This Row],[CFlpg]],
tbl_WaCS_Multi[[#This Row],[Diesel]]*tbl_WaCS_Multi[[#This Row],[SGEd]])</f>
        <v>1085497.68053</v>
      </c>
    </row>
    <row r="12" spans="1:175" ht="16.5" customHeight="1">
      <c r="F12" s="36"/>
    </row>
  </sheetData>
  <sheetProtection selectLockedCells="1"/>
  <dataValidations count="3">
    <dataValidation type="decimal" allowBlank="1" showInputMessage="1" showErrorMessage="1" sqref="V65211:V65212 V130747:V130748 V196283:V196284 V261819:V261820 V327355:V327356 V392891:V392892 V458427:V458428 V523963:V523964 V589499:V589500 V655035:V655036 V720571:V720572 V786107:V786108 V851643:V851644 V917179:V917180 V982715:V982716" xr:uid="{FC979C66-93CC-4772-A84B-CAE5306F523D}">
      <formula1>0</formula1>
      <formula2>6</formula2>
    </dataValidation>
    <dataValidation type="list" allowBlank="1" showInputMessage="1" showErrorMessage="1" sqref="C4:C6" xr:uid="{5FC86CEB-FBA6-495F-8952-2E515EC70792}">
      <formula1>List_Warehouse_Operational_Data_Availability</formula1>
    </dataValidation>
    <dataValidation type="list" allowBlank="1" showInputMessage="1" showErrorMessage="1" sqref="D4:D6" xr:uid="{A719AD75-D40C-4FD7-BA63-67B7FC008CBE}">
      <formula1>List_Warehouse_Cold_Store_Presence</formula1>
    </dataValidation>
  </dataValidations>
  <pageMargins left="0.42" right="0.44" top="0.56000000000000005" bottom="0.6" header="0.34" footer="0.4"/>
  <pageSetup paperSize="9" orientation="portrait" blackAndWhite="1" r:id="rId1"/>
  <headerFooter alignWithMargins="0">
    <oddFooter>&amp;R&amp;D</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9EC48-EB62-4D1D-A133-DC47479F89A5}">
  <sheetPr codeName="Sheet11">
    <tabColor rgb="FFFFC000"/>
  </sheetPr>
  <dimension ref="A1:S388"/>
  <sheetViews>
    <sheetView topLeftCell="A372" zoomScaleNormal="100" workbookViewId="0">
      <selection activeCell="C395" sqref="A395:C396"/>
    </sheetView>
  </sheetViews>
  <sheetFormatPr defaultColWidth="9.28515625" defaultRowHeight="14.45"/>
  <cols>
    <col min="1" max="1" width="56.85546875" style="318" customWidth="1"/>
    <col min="2" max="2" width="33.28515625" style="318" bestFit="1" customWidth="1"/>
    <col min="3" max="3" width="41.7109375" style="318" customWidth="1"/>
    <col min="4" max="4" width="19.28515625" style="318" customWidth="1"/>
    <col min="5" max="5" width="15.85546875" style="318" customWidth="1"/>
    <col min="6" max="7" width="11.5703125" style="318" customWidth="1"/>
    <col min="8" max="17" width="9.28515625" style="318"/>
    <col min="18" max="18" width="11.5703125" style="318" bestFit="1" customWidth="1"/>
    <col min="19" max="19" width="9.28515625" style="318" bestFit="1" customWidth="1"/>
    <col min="20" max="16384" width="9.28515625" style="318"/>
  </cols>
  <sheetData>
    <row r="1" spans="1:7" ht="15.6">
      <c r="A1" s="158" t="s">
        <v>1600</v>
      </c>
      <c r="B1" s="609"/>
      <c r="C1" s="609"/>
      <c r="D1" s="609"/>
      <c r="E1" s="609"/>
      <c r="F1" s="609"/>
      <c r="G1" s="609"/>
    </row>
    <row r="2" spans="1:7">
      <c r="A2" s="361" t="s">
        <v>1601</v>
      </c>
      <c r="B2" s="609"/>
      <c r="C2" s="609"/>
      <c r="D2" s="609"/>
      <c r="E2" s="609"/>
      <c r="F2" s="609"/>
      <c r="G2" s="609"/>
    </row>
    <row r="4" spans="1:7">
      <c r="A4" s="634"/>
      <c r="B4" s="634"/>
      <c r="C4" s="634"/>
      <c r="D4" s="634"/>
      <c r="E4" s="634"/>
      <c r="F4" s="634"/>
      <c r="G4" s="634"/>
    </row>
    <row r="5" spans="1:7">
      <c r="A5" s="517" t="s">
        <v>1602</v>
      </c>
      <c r="B5" s="518">
        <v>2020</v>
      </c>
      <c r="C5" s="518"/>
      <c r="D5" s="518"/>
      <c r="E5" s="518"/>
      <c r="F5" s="518"/>
      <c r="G5" s="634"/>
    </row>
    <row r="6" spans="1:7">
      <c r="A6" s="519" t="s">
        <v>1603</v>
      </c>
      <c r="B6" s="520" t="s">
        <v>1079</v>
      </c>
      <c r="C6" s="635" t="s">
        <v>1080</v>
      </c>
      <c r="D6" s="635" t="s">
        <v>1604</v>
      </c>
      <c r="E6" s="635" t="s">
        <v>1605</v>
      </c>
      <c r="F6" s="521"/>
      <c r="G6" s="634"/>
    </row>
    <row r="7" spans="1:7">
      <c r="A7" s="636" t="s">
        <v>1101</v>
      </c>
      <c r="B7" s="637">
        <v>0.8635702916737853</v>
      </c>
      <c r="C7" s="522">
        <v>0.95</v>
      </c>
      <c r="D7" s="522">
        <f>SGEx!L9</f>
        <v>0.86348669538322365</v>
      </c>
      <c r="E7" s="522">
        <f>SGEx!$M$9</f>
        <v>0.95040304494925087</v>
      </c>
      <c r="F7" s="522"/>
      <c r="G7" s="634"/>
    </row>
    <row r="8" spans="1:7">
      <c r="A8" s="636" t="s">
        <v>1102</v>
      </c>
      <c r="B8" s="637">
        <v>0.8635702916737853</v>
      </c>
      <c r="C8" s="522">
        <v>0.95</v>
      </c>
      <c r="D8" s="522">
        <f>SGEx!L10</f>
        <v>0.86348669538322365</v>
      </c>
      <c r="E8" s="522">
        <f>SGEx!$M$9</f>
        <v>0.95040304494925087</v>
      </c>
      <c r="F8" s="522"/>
      <c r="G8" s="634"/>
    </row>
    <row r="9" spans="1:7">
      <c r="A9" s="636" t="s">
        <v>1103</v>
      </c>
      <c r="B9" s="637">
        <v>0.87714579761475708</v>
      </c>
      <c r="C9" s="522">
        <v>0.95</v>
      </c>
      <c r="D9" s="522">
        <f>SGEx!L11</f>
        <v>0.87712470082898308</v>
      </c>
      <c r="E9" s="522">
        <f>SGEx!$M$9</f>
        <v>0.95040304494925087</v>
      </c>
      <c r="F9" s="522"/>
      <c r="G9" s="634"/>
    </row>
    <row r="10" spans="1:7">
      <c r="A10" s="636" t="s">
        <v>1104</v>
      </c>
      <c r="B10" s="637">
        <v>0.91024803601307669</v>
      </c>
      <c r="C10" s="522">
        <v>0.95</v>
      </c>
      <c r="D10" s="522">
        <f>SGEx!L12</f>
        <v>0.91015455880349394</v>
      </c>
      <c r="E10" s="522">
        <f>SGEx!$M$9</f>
        <v>0.95040304494925087</v>
      </c>
      <c r="F10" s="522"/>
      <c r="G10" s="634"/>
    </row>
    <row r="11" spans="1:7">
      <c r="A11" s="636" t="s">
        <v>1105</v>
      </c>
      <c r="B11" s="637">
        <v>0.57542677675478304</v>
      </c>
      <c r="C11" s="522">
        <v>0.95</v>
      </c>
      <c r="D11" s="522">
        <f>SGEx!L13</f>
        <v>0.57517311531895288</v>
      </c>
      <c r="E11" s="522">
        <f>SGEx!$M$9</f>
        <v>0.95040304494925087</v>
      </c>
      <c r="F11" s="522"/>
      <c r="G11" s="634"/>
    </row>
    <row r="12" spans="1:7">
      <c r="A12" s="636" t="s">
        <v>1106</v>
      </c>
      <c r="B12" s="637">
        <v>1</v>
      </c>
      <c r="C12" s="522">
        <v>0.95</v>
      </c>
      <c r="D12" s="522">
        <f>SGEx!L14</f>
        <v>0.99995253221955482</v>
      </c>
      <c r="E12" s="522">
        <f>SGEx!$M$9</f>
        <v>0.95040304494925087</v>
      </c>
      <c r="F12" s="522"/>
      <c r="G12" s="634"/>
    </row>
    <row r="13" spans="1:7">
      <c r="A13" s="636" t="s">
        <v>1107</v>
      </c>
      <c r="B13" s="637">
        <v>0.84327922666207022</v>
      </c>
      <c r="C13" s="522">
        <v>0.95</v>
      </c>
      <c r="D13" s="522">
        <f>SGEx!L15</f>
        <v>0.84321237419203288</v>
      </c>
      <c r="E13" s="522">
        <f>SGEx!$M$9</f>
        <v>0.95040304494925087</v>
      </c>
      <c r="F13" s="522"/>
      <c r="G13" s="634"/>
    </row>
    <row r="14" spans="1:7">
      <c r="A14" s="673" t="s">
        <v>1108</v>
      </c>
      <c r="B14" s="674">
        <v>0.73940761749080119</v>
      </c>
      <c r="C14" s="522">
        <v>0.95</v>
      </c>
      <c r="D14" s="522">
        <f>SGEx!L16</f>
        <v>0.73926233031391209</v>
      </c>
      <c r="E14" s="522">
        <f>SGEx!$M$9</f>
        <v>0.95040304494925087</v>
      </c>
      <c r="F14" s="522"/>
      <c r="G14" s="634"/>
    </row>
    <row r="15" spans="1:7">
      <c r="A15" s="634"/>
      <c r="B15" s="634"/>
      <c r="C15" s="634"/>
      <c r="D15" s="634"/>
      <c r="E15" s="634"/>
      <c r="F15" s="634"/>
      <c r="G15" s="634"/>
    </row>
    <row r="16" spans="1:7">
      <c r="A16" s="634"/>
      <c r="B16" s="634"/>
      <c r="C16" s="634"/>
      <c r="D16" s="634"/>
      <c r="E16" s="634"/>
      <c r="F16" s="634"/>
      <c r="G16" s="634"/>
    </row>
    <row r="17" spans="1:7">
      <c r="A17" s="634" t="s">
        <v>1606</v>
      </c>
      <c r="B17" s="634"/>
      <c r="C17" s="634"/>
      <c r="D17" s="634"/>
      <c r="E17" s="634"/>
      <c r="F17" s="634"/>
      <c r="G17" s="634"/>
    </row>
    <row r="18" spans="1:7">
      <c r="A18" s="634"/>
      <c r="B18" s="634"/>
      <c r="C18" s="634"/>
      <c r="D18" s="634"/>
      <c r="E18" s="634"/>
      <c r="F18" s="634"/>
      <c r="G18" s="634"/>
    </row>
    <row r="19" spans="1:7">
      <c r="A19" s="360" t="s">
        <v>1607</v>
      </c>
      <c r="B19" s="360" t="s">
        <v>809</v>
      </c>
      <c r="C19" s="634"/>
      <c r="D19" s="634"/>
      <c r="E19" s="634"/>
      <c r="F19" s="634"/>
      <c r="G19" s="634"/>
    </row>
    <row r="20" spans="1:7">
      <c r="A20" s="360" t="s">
        <v>1608</v>
      </c>
      <c r="B20" s="360">
        <v>0.36</v>
      </c>
      <c r="C20" s="634"/>
      <c r="D20" s="634"/>
      <c r="E20" s="634"/>
      <c r="F20" s="634"/>
      <c r="G20" s="634"/>
    </row>
    <row r="21" spans="1:7">
      <c r="A21" s="360" t="s">
        <v>568</v>
      </c>
      <c r="B21" s="360">
        <v>0.17</v>
      </c>
      <c r="C21" s="634"/>
      <c r="D21" s="634"/>
      <c r="E21" s="634"/>
      <c r="F21" s="634"/>
      <c r="G21" s="634"/>
    </row>
    <row r="22" spans="1:7">
      <c r="A22" s="360" t="s">
        <v>1609</v>
      </c>
      <c r="B22" s="360">
        <v>1</v>
      </c>
      <c r="C22" s="634"/>
      <c r="D22" s="360" t="s">
        <v>1610</v>
      </c>
      <c r="E22" s="360"/>
      <c r="F22" s="634"/>
      <c r="G22" s="634"/>
    </row>
    <row r="23" spans="1:7">
      <c r="A23" s="360" t="s">
        <v>1611</v>
      </c>
      <c r="B23" s="360">
        <v>1</v>
      </c>
      <c r="C23" s="634"/>
      <c r="D23" s="360" t="s">
        <v>1610</v>
      </c>
      <c r="E23" s="360"/>
      <c r="F23" s="634"/>
      <c r="G23" s="634"/>
    </row>
    <row r="24" spans="1:7">
      <c r="A24" s="360" t="s">
        <v>1612</v>
      </c>
      <c r="B24" s="360">
        <v>1</v>
      </c>
      <c r="C24" s="634"/>
      <c r="D24" s="360" t="s">
        <v>1613</v>
      </c>
      <c r="E24" s="360"/>
      <c r="F24" s="634"/>
      <c r="G24" s="634"/>
    </row>
    <row r="25" spans="1:7">
      <c r="A25" s="634"/>
      <c r="B25" s="634"/>
      <c r="C25" s="634"/>
      <c r="D25" s="634"/>
      <c r="E25" s="634"/>
      <c r="F25" s="634"/>
      <c r="G25" s="634"/>
    </row>
    <row r="26" spans="1:7">
      <c r="A26" s="321" t="s">
        <v>1081</v>
      </c>
      <c r="B26" s="321"/>
      <c r="C26" s="634"/>
      <c r="D26" s="634"/>
      <c r="E26" s="634"/>
      <c r="F26" s="634"/>
      <c r="G26" s="634"/>
    </row>
    <row r="27" spans="1:7">
      <c r="A27" s="321" t="s">
        <v>1087</v>
      </c>
      <c r="B27" s="321" t="s">
        <v>1088</v>
      </c>
      <c r="C27" s="634"/>
      <c r="D27" s="634"/>
      <c r="E27" s="634"/>
      <c r="F27" s="634"/>
      <c r="G27" s="634"/>
    </row>
    <row r="28" spans="1:7">
      <c r="A28" s="634"/>
      <c r="B28" s="634"/>
      <c r="C28" s="634"/>
      <c r="D28" s="634"/>
      <c r="E28" s="634"/>
      <c r="F28" s="634"/>
      <c r="G28" s="634"/>
    </row>
    <row r="29" spans="1:7" ht="15.6">
      <c r="A29" s="158" t="s">
        <v>1614</v>
      </c>
      <c r="B29" s="634"/>
      <c r="C29" s="634"/>
      <c r="D29" s="634"/>
      <c r="E29" s="634"/>
      <c r="F29" s="634"/>
      <c r="G29" s="634"/>
    </row>
    <row r="30" spans="1:7">
      <c r="A30" s="634" t="s">
        <v>1615</v>
      </c>
      <c r="B30" s="634"/>
      <c r="C30" s="634"/>
      <c r="D30" s="634"/>
      <c r="E30" s="634"/>
      <c r="F30" s="634"/>
      <c r="G30" s="634"/>
    </row>
    <row r="31" spans="1:7">
      <c r="A31" s="634"/>
      <c r="B31" s="634"/>
      <c r="C31" s="634"/>
      <c r="D31" s="634"/>
      <c r="E31" s="634"/>
      <c r="F31" s="634"/>
      <c r="G31" s="634"/>
    </row>
    <row r="32" spans="1:7">
      <c r="A32" s="497" t="s">
        <v>1616</v>
      </c>
      <c r="B32" s="278"/>
      <c r="C32" s="278"/>
      <c r="D32" s="278"/>
      <c r="E32" s="278"/>
      <c r="F32" s="634"/>
      <c r="G32" s="634"/>
    </row>
    <row r="33" spans="1:7">
      <c r="A33" s="498" t="s">
        <v>1617</v>
      </c>
      <c r="B33" s="278"/>
      <c r="C33" s="278"/>
      <c r="D33" s="278"/>
      <c r="E33" s="278"/>
      <c r="F33" s="634"/>
      <c r="G33" s="634"/>
    </row>
    <row r="34" spans="1:7">
      <c r="A34" s="498" t="s">
        <v>1618</v>
      </c>
      <c r="B34" s="278"/>
      <c r="C34" s="278"/>
      <c r="D34" s="278"/>
      <c r="E34" s="278"/>
      <c r="F34" s="634"/>
      <c r="G34" s="634"/>
    </row>
    <row r="35" spans="1:7">
      <c r="A35" s="499" t="s">
        <v>1619</v>
      </c>
      <c r="B35" s="278"/>
      <c r="C35" s="278"/>
      <c r="D35" s="278"/>
      <c r="E35" s="278"/>
      <c r="F35" s="634"/>
      <c r="G35" s="634"/>
    </row>
    <row r="36" spans="1:7">
      <c r="A36" s="278"/>
      <c r="B36" s="278"/>
      <c r="C36" s="278"/>
      <c r="D36" s="278"/>
      <c r="E36" s="278"/>
      <c r="F36" s="634"/>
      <c r="G36" s="634"/>
    </row>
    <row r="37" spans="1:7">
      <c r="A37" s="278"/>
      <c r="B37" s="278"/>
      <c r="C37" s="278"/>
      <c r="D37" s="278"/>
      <c r="E37" s="278"/>
      <c r="F37" s="634"/>
      <c r="G37" s="634"/>
    </row>
    <row r="38" spans="1:7">
      <c r="A38" s="500" t="s">
        <v>1114</v>
      </c>
      <c r="B38" s="501"/>
      <c r="C38" s="501"/>
      <c r="D38" s="502"/>
      <c r="E38" s="278"/>
      <c r="F38" s="634"/>
      <c r="G38" s="634"/>
    </row>
    <row r="39" spans="1:7">
      <c r="A39" s="503" t="s">
        <v>1620</v>
      </c>
      <c r="B39" s="495" t="s">
        <v>1621</v>
      </c>
      <c r="C39" s="495" t="s">
        <v>1622</v>
      </c>
      <c r="D39" s="504" t="s">
        <v>1623</v>
      </c>
      <c r="E39" s="495"/>
      <c r="F39" s="634"/>
      <c r="G39" s="634"/>
    </row>
    <row r="40" spans="1:7">
      <c r="A40" s="505"/>
      <c r="B40" s="506">
        <v>1</v>
      </c>
      <c r="C40" s="507">
        <f>1/3.6</f>
        <v>0.27777777777777779</v>
      </c>
      <c r="D40" s="508">
        <f>1/3.6/1000</f>
        <v>2.7777777777777778E-4</v>
      </c>
      <c r="E40" s="495"/>
      <c r="F40" s="634"/>
      <c r="G40" s="634"/>
    </row>
    <row r="41" spans="1:7">
      <c r="A41" s="278"/>
      <c r="B41" s="495"/>
      <c r="C41" s="495"/>
      <c r="D41" s="495"/>
      <c r="E41" s="495"/>
      <c r="F41" s="634"/>
      <c r="G41" s="634"/>
    </row>
    <row r="42" spans="1:7">
      <c r="A42" s="509" t="s">
        <v>1624</v>
      </c>
      <c r="B42" s="510" t="s">
        <v>1621</v>
      </c>
      <c r="C42" s="510" t="s">
        <v>1622</v>
      </c>
      <c r="D42" s="511" t="s">
        <v>1623</v>
      </c>
      <c r="E42" s="495"/>
      <c r="F42" s="634"/>
      <c r="G42" s="634"/>
    </row>
    <row r="43" spans="1:7">
      <c r="A43" s="505"/>
      <c r="B43" s="506">
        <v>1</v>
      </c>
      <c r="C43" s="507">
        <f>1/3.6</f>
        <v>0.27777777777777779</v>
      </c>
      <c r="D43" s="508">
        <f>1/3.6/1000</f>
        <v>2.7777777777777778E-4</v>
      </c>
      <c r="E43" s="495"/>
      <c r="F43" s="634"/>
      <c r="G43" s="634"/>
    </row>
    <row r="44" spans="1:7">
      <c r="A44" s="278"/>
      <c r="B44" s="495"/>
      <c r="C44" s="495"/>
      <c r="D44" s="495"/>
      <c r="E44" s="495"/>
      <c r="F44" s="634"/>
      <c r="G44" s="634"/>
    </row>
    <row r="45" spans="1:7">
      <c r="A45" s="509" t="s">
        <v>1625</v>
      </c>
      <c r="B45" s="510" t="s">
        <v>1621</v>
      </c>
      <c r="C45" s="510" t="s">
        <v>1622</v>
      </c>
      <c r="D45" s="510" t="s">
        <v>1626</v>
      </c>
      <c r="E45" s="511" t="s">
        <v>1627</v>
      </c>
      <c r="F45" s="634"/>
      <c r="G45" s="634"/>
    </row>
    <row r="46" spans="1:7">
      <c r="A46" s="505"/>
      <c r="B46" s="506">
        <v>1</v>
      </c>
      <c r="C46" s="507">
        <f>1/3.6</f>
        <v>0.27777777777777779</v>
      </c>
      <c r="D46" s="512">
        <f>1/3.6*38.6</f>
        <v>10.722222222222223</v>
      </c>
      <c r="E46" s="513">
        <f>1/3.6*38.6/1000</f>
        <v>1.0722222222222223E-2</v>
      </c>
      <c r="F46" s="634"/>
      <c r="G46" s="634"/>
    </row>
    <row r="47" spans="1:7">
      <c r="A47" s="278"/>
      <c r="B47" s="495"/>
      <c r="C47" s="495"/>
      <c r="D47" s="495"/>
      <c r="E47" s="496"/>
      <c r="F47" s="634"/>
      <c r="G47" s="634"/>
    </row>
    <row r="48" spans="1:7">
      <c r="A48" s="509" t="s">
        <v>1628</v>
      </c>
      <c r="B48" s="510" t="s">
        <v>1621</v>
      </c>
      <c r="C48" s="510" t="s">
        <v>1622</v>
      </c>
      <c r="D48" s="510" t="s">
        <v>1629</v>
      </c>
      <c r="E48" s="514" t="s">
        <v>1630</v>
      </c>
      <c r="F48" s="634"/>
      <c r="G48" s="634"/>
    </row>
    <row r="49" spans="1:8">
      <c r="A49" s="505"/>
      <c r="B49" s="506">
        <v>1</v>
      </c>
      <c r="C49" s="507">
        <f>1/3.6</f>
        <v>0.27777777777777779</v>
      </c>
      <c r="D49" s="515">
        <f>1/3.6*22.1</f>
        <v>6.1388888888888893</v>
      </c>
      <c r="E49" s="516">
        <f>1/3.6*22.1/1000</f>
        <v>6.138888888888889E-3</v>
      </c>
      <c r="F49" s="634"/>
      <c r="G49" s="634"/>
      <c r="H49" s="609"/>
    </row>
    <row r="50" spans="1:8">
      <c r="A50" s="278"/>
      <c r="B50" s="495"/>
      <c r="C50" s="495"/>
      <c r="D50" s="495"/>
      <c r="E50" s="496"/>
      <c r="F50" s="634"/>
      <c r="G50" s="634"/>
      <c r="H50" s="609"/>
    </row>
    <row r="51" spans="1:8">
      <c r="A51" s="509" t="s">
        <v>851</v>
      </c>
      <c r="B51" s="510" t="s">
        <v>1621</v>
      </c>
      <c r="C51" s="510" t="s">
        <v>1622</v>
      </c>
      <c r="D51" s="510" t="s">
        <v>1626</v>
      </c>
      <c r="E51" s="514" t="s">
        <v>1627</v>
      </c>
      <c r="F51" s="634"/>
      <c r="G51" s="634"/>
      <c r="H51" s="609"/>
    </row>
    <row r="52" spans="1:8">
      <c r="A52" s="505"/>
      <c r="B52" s="506">
        <v>1</v>
      </c>
      <c r="C52" s="507">
        <f>1/3.6</f>
        <v>0.27777777777777779</v>
      </c>
      <c r="D52" s="512">
        <f>1/3.6*25.7</f>
        <v>7.1388888888888893</v>
      </c>
      <c r="E52" s="513">
        <f>1/3.6*25.7/1000</f>
        <v>7.1388888888888891E-3</v>
      </c>
      <c r="F52" s="634"/>
      <c r="G52" s="634"/>
      <c r="H52" s="609"/>
    </row>
    <row r="53" spans="1:8">
      <c r="A53" s="634"/>
      <c r="B53" s="634"/>
      <c r="C53" s="634"/>
      <c r="D53" s="634"/>
      <c r="E53" s="634"/>
      <c r="F53" s="634"/>
      <c r="G53" s="634"/>
      <c r="H53" s="609"/>
    </row>
    <row r="54" spans="1:8">
      <c r="A54" s="634"/>
      <c r="B54" s="634"/>
      <c r="C54" s="634"/>
      <c r="D54" s="634"/>
      <c r="E54" s="634"/>
      <c r="F54" s="634"/>
      <c r="G54" s="634"/>
      <c r="H54" s="609"/>
    </row>
    <row r="55" spans="1:8" ht="15.6">
      <c r="A55" s="158" t="s">
        <v>1631</v>
      </c>
      <c r="B55" s="609"/>
      <c r="C55" s="609"/>
      <c r="D55" s="609"/>
      <c r="E55" s="609"/>
      <c r="F55" s="609"/>
      <c r="G55" s="609"/>
      <c r="H55" s="609"/>
    </row>
    <row r="57" spans="1:8">
      <c r="A57" s="168" t="s">
        <v>1632</v>
      </c>
      <c r="B57" s="168" t="s">
        <v>1633</v>
      </c>
      <c r="C57" s="168" t="s">
        <v>1634</v>
      </c>
      <c r="D57" s="609"/>
      <c r="E57" s="609"/>
      <c r="F57" s="609"/>
      <c r="G57" s="609"/>
      <c r="H57" s="609"/>
    </row>
    <row r="58" spans="1:8">
      <c r="A58" s="168" t="s">
        <v>1635</v>
      </c>
      <c r="B58" s="168" t="s">
        <v>1635</v>
      </c>
      <c r="C58" s="168">
        <v>39.326700334909603</v>
      </c>
      <c r="D58" s="609"/>
      <c r="E58" s="609"/>
      <c r="F58" s="609"/>
      <c r="G58" s="609"/>
      <c r="H58" s="609"/>
    </row>
    <row r="59" spans="1:8" ht="15">
      <c r="A59" s="168" t="s">
        <v>1636</v>
      </c>
      <c r="B59" s="168" t="s">
        <v>1637</v>
      </c>
      <c r="C59" s="168">
        <v>3040.4937715290598</v>
      </c>
      <c r="D59" s="609"/>
      <c r="E59" s="609"/>
      <c r="F59" s="609"/>
      <c r="G59" s="609"/>
      <c r="H59" s="609"/>
    </row>
    <row r="60" spans="1:8" ht="15">
      <c r="A60" s="168" t="s">
        <v>1638</v>
      </c>
      <c r="B60" s="168" t="s">
        <v>1639</v>
      </c>
      <c r="C60" s="168">
        <v>2669.2040701284</v>
      </c>
      <c r="D60" s="609"/>
      <c r="E60" s="168"/>
      <c r="F60" s="168"/>
      <c r="G60" s="168"/>
      <c r="H60" s="168"/>
    </row>
    <row r="61" spans="1:8" ht="15">
      <c r="A61" s="168" t="s">
        <v>1640</v>
      </c>
      <c r="B61" s="168" t="s">
        <v>1641</v>
      </c>
      <c r="C61" s="168">
        <v>0</v>
      </c>
      <c r="D61" s="609"/>
      <c r="E61" s="168"/>
      <c r="F61" s="168"/>
      <c r="G61" s="168"/>
      <c r="H61" s="168"/>
    </row>
    <row r="62" spans="1:8" ht="15">
      <c r="A62" s="168" t="s">
        <v>1642</v>
      </c>
      <c r="B62" s="168" t="s">
        <v>1643</v>
      </c>
      <c r="C62" s="168">
        <v>714.83459060033601</v>
      </c>
      <c r="D62" s="609"/>
      <c r="E62" s="168"/>
      <c r="F62" s="168"/>
      <c r="G62" s="168"/>
      <c r="H62" s="168"/>
    </row>
    <row r="63" spans="1:8" ht="15">
      <c r="A63" s="168" t="s">
        <v>1644</v>
      </c>
      <c r="B63" s="168" t="s">
        <v>1645</v>
      </c>
      <c r="C63" s="168">
        <v>662.303</v>
      </c>
      <c r="D63" s="609"/>
      <c r="E63" s="168"/>
      <c r="F63" s="168"/>
      <c r="G63" s="168"/>
      <c r="H63" s="168"/>
    </row>
    <row r="64" spans="1:8" ht="15">
      <c r="A64" s="168" t="s">
        <v>1646</v>
      </c>
      <c r="B64" s="168" t="s">
        <v>1647</v>
      </c>
      <c r="C64" s="168">
        <v>1040.58055956421</v>
      </c>
      <c r="D64" s="609"/>
      <c r="E64" s="168"/>
      <c r="F64" s="168"/>
      <c r="G64" s="168"/>
      <c r="H64" s="168"/>
    </row>
    <row r="65" spans="1:8" ht="15">
      <c r="A65" s="168" t="s">
        <v>1648</v>
      </c>
      <c r="B65" s="168" t="s">
        <v>1649</v>
      </c>
      <c r="C65" s="168">
        <v>470.071920647561</v>
      </c>
      <c r="D65" s="609"/>
      <c r="E65" s="168"/>
      <c r="F65" s="168"/>
      <c r="G65" s="168"/>
      <c r="H65" s="168"/>
    </row>
    <row r="66" spans="1:8" ht="15">
      <c r="A66" s="168" t="s">
        <v>1650</v>
      </c>
      <c r="B66" s="168" t="s">
        <v>1651</v>
      </c>
      <c r="C66" s="168">
        <v>652.65629472558703</v>
      </c>
      <c r="D66" s="609"/>
      <c r="E66" s="168"/>
      <c r="F66" s="168"/>
      <c r="G66" s="168"/>
      <c r="H66" s="168"/>
    </row>
    <row r="67" spans="1:8" ht="15">
      <c r="A67" s="168" t="s">
        <v>1652</v>
      </c>
      <c r="B67" s="168" t="s">
        <v>1653</v>
      </c>
      <c r="C67" s="168">
        <v>0.245251218239256</v>
      </c>
      <c r="D67" s="609"/>
      <c r="E67" s="168"/>
      <c r="F67" s="168"/>
      <c r="G67" s="168"/>
      <c r="H67" s="168"/>
    </row>
    <row r="68" spans="1:8" ht="15">
      <c r="A68" s="168" t="s">
        <v>1654</v>
      </c>
      <c r="B68" s="168" t="s">
        <v>1655</v>
      </c>
      <c r="C68" s="168">
        <v>160.06475140000001</v>
      </c>
      <c r="D68" s="609"/>
      <c r="E68" s="168"/>
      <c r="F68" s="168"/>
      <c r="G68" s="168"/>
      <c r="H68" s="168"/>
    </row>
    <row r="69" spans="1:8" ht="15">
      <c r="A69" s="168" t="s">
        <v>1656</v>
      </c>
      <c r="B69" s="168" t="s">
        <v>1657</v>
      </c>
      <c r="C69" s="168">
        <v>190</v>
      </c>
      <c r="D69" s="609"/>
      <c r="E69" s="609"/>
      <c r="F69" s="609"/>
      <c r="G69" s="609"/>
      <c r="H69" s="609"/>
    </row>
    <row r="70" spans="1:8" ht="15">
      <c r="A70" s="168" t="s">
        <v>1658</v>
      </c>
      <c r="B70" s="168" t="s">
        <v>1659</v>
      </c>
      <c r="C70" s="168">
        <v>144</v>
      </c>
      <c r="D70" s="609"/>
      <c r="E70" s="609"/>
      <c r="F70" s="609"/>
      <c r="G70" s="609"/>
      <c r="H70" s="609"/>
    </row>
    <row r="71" spans="1:8" ht="15">
      <c r="A71" s="168" t="s">
        <v>1660</v>
      </c>
      <c r="B71" s="168" t="s">
        <v>1661</v>
      </c>
      <c r="C71" s="168">
        <v>156</v>
      </c>
      <c r="D71" s="609"/>
      <c r="E71" s="609"/>
      <c r="F71" s="609"/>
      <c r="G71" s="609"/>
      <c r="H71" s="609"/>
    </row>
    <row r="72" spans="1:8" ht="15">
      <c r="A72" s="168" t="s">
        <v>1662</v>
      </c>
      <c r="B72" s="168" t="s">
        <v>1663</v>
      </c>
      <c r="C72" s="168">
        <v>110</v>
      </c>
      <c r="D72" s="609"/>
      <c r="E72" s="609"/>
      <c r="F72" s="609"/>
      <c r="G72" s="609"/>
      <c r="H72" s="609"/>
    </row>
    <row r="73" spans="1:8" ht="15">
      <c r="A73" s="168" t="s">
        <v>1664</v>
      </c>
      <c r="B73" s="168" t="s">
        <v>1665</v>
      </c>
      <c r="C73" s="168">
        <v>138</v>
      </c>
      <c r="D73" s="609"/>
      <c r="E73" s="609"/>
      <c r="F73" s="609"/>
      <c r="G73" s="609"/>
      <c r="H73" s="609"/>
    </row>
    <row r="74" spans="1:8" ht="15">
      <c r="A74" s="168" t="s">
        <v>1666</v>
      </c>
      <c r="B74" s="168" t="s">
        <v>1667</v>
      </c>
      <c r="C74" s="168">
        <v>92</v>
      </c>
      <c r="D74" s="609"/>
      <c r="E74" s="609"/>
      <c r="F74" s="609"/>
      <c r="G74" s="609"/>
      <c r="H74" s="609"/>
    </row>
    <row r="76" spans="1:8">
      <c r="A76" s="168" t="s">
        <v>767</v>
      </c>
      <c r="B76" s="168" t="s">
        <v>1668</v>
      </c>
      <c r="C76" s="168">
        <v>0.95</v>
      </c>
      <c r="D76" s="609"/>
      <c r="E76" s="609"/>
      <c r="F76" s="609"/>
      <c r="G76" s="609"/>
      <c r="H76" s="609"/>
    </row>
    <row r="77" spans="1:8">
      <c r="A77" s="168"/>
      <c r="B77" s="168"/>
      <c r="C77" s="168"/>
      <c r="D77" s="609"/>
      <c r="E77" s="609"/>
      <c r="F77" s="609"/>
      <c r="G77" s="609"/>
      <c r="H77" s="609"/>
    </row>
    <row r="78" spans="1:8">
      <c r="A78" s="168" t="s">
        <v>1669</v>
      </c>
      <c r="B78" s="168" t="s">
        <v>1670</v>
      </c>
      <c r="C78" s="530">
        <v>5.0000000000000001E-3</v>
      </c>
      <c r="D78" s="609"/>
      <c r="E78" s="609"/>
      <c r="F78" s="609"/>
      <c r="G78" s="609"/>
      <c r="H78" s="609"/>
    </row>
    <row r="80" spans="1:8" ht="15.6">
      <c r="A80" s="158" t="s">
        <v>1671</v>
      </c>
      <c r="B80" s="609"/>
      <c r="C80" s="609"/>
      <c r="D80" s="609"/>
      <c r="E80" s="609"/>
      <c r="F80" s="609"/>
      <c r="G80" s="609"/>
      <c r="H80" s="609"/>
    </row>
    <row r="82" spans="1:5">
      <c r="A82" s="277" t="s">
        <v>1672</v>
      </c>
      <c r="B82" s="278"/>
      <c r="C82" s="609"/>
      <c r="D82" s="609"/>
      <c r="E82" s="609"/>
    </row>
    <row r="83" spans="1:5">
      <c r="A83" s="277" t="s">
        <v>1673</v>
      </c>
      <c r="B83" s="278"/>
      <c r="C83" s="609"/>
      <c r="D83" s="609"/>
      <c r="E83" s="609"/>
    </row>
    <row r="84" spans="1:5">
      <c r="A84" s="277"/>
      <c r="B84" s="278"/>
      <c r="C84" s="609"/>
      <c r="D84" s="609"/>
      <c r="E84" s="609"/>
    </row>
    <row r="85" spans="1:5">
      <c r="A85" s="277" t="s">
        <v>1674</v>
      </c>
      <c r="B85" s="278"/>
      <c r="C85" s="609"/>
      <c r="D85" s="609"/>
      <c r="E85" s="609"/>
    </row>
    <row r="86" spans="1:5">
      <c r="A86" s="278" t="s">
        <v>1675</v>
      </c>
      <c r="B86" s="168" t="s">
        <v>1676</v>
      </c>
      <c r="C86" s="278">
        <v>370</v>
      </c>
      <c r="D86" s="609"/>
      <c r="E86" s="609"/>
    </row>
    <row r="87" spans="1:5">
      <c r="A87" s="278" t="s">
        <v>1677</v>
      </c>
      <c r="B87" s="168" t="s">
        <v>1678</v>
      </c>
      <c r="C87" s="278">
        <v>440</v>
      </c>
      <c r="D87" s="609"/>
      <c r="E87" s="609"/>
    </row>
    <row r="88" spans="1:5">
      <c r="A88" s="278" t="s">
        <v>1679</v>
      </c>
      <c r="B88" s="168" t="s">
        <v>1680</v>
      </c>
      <c r="C88" s="278">
        <v>0.95599999999999996</v>
      </c>
      <c r="D88" s="609"/>
      <c r="E88" s="609"/>
    </row>
    <row r="89" spans="1:5">
      <c r="A89" s="278"/>
      <c r="B89" s="168"/>
      <c r="C89" s="278"/>
      <c r="D89" s="609"/>
      <c r="E89" s="609"/>
    </row>
    <row r="90" spans="1:5">
      <c r="A90" s="277" t="s">
        <v>1681</v>
      </c>
      <c r="B90" s="168"/>
      <c r="C90" s="278"/>
      <c r="D90" s="609"/>
      <c r="E90" s="609"/>
    </row>
    <row r="91" spans="1:5">
      <c r="A91" s="278" t="s">
        <v>1682</v>
      </c>
      <c r="B91" s="168" t="s">
        <v>1683</v>
      </c>
      <c r="C91" s="278">
        <v>1.81</v>
      </c>
      <c r="D91" s="609"/>
      <c r="E91" s="609"/>
    </row>
    <row r="92" spans="1:5">
      <c r="A92" s="278" t="s">
        <v>1684</v>
      </c>
      <c r="B92" s="168" t="s">
        <v>1685</v>
      </c>
      <c r="C92" s="278">
        <v>430</v>
      </c>
      <c r="D92" s="609"/>
      <c r="E92" s="609"/>
    </row>
    <row r="93" spans="1:5">
      <c r="A93" s="278" t="s">
        <v>1686</v>
      </c>
      <c r="B93" s="168" t="s">
        <v>1687</v>
      </c>
      <c r="C93" s="319">
        <v>0.02</v>
      </c>
      <c r="D93" s="609"/>
      <c r="E93" s="609"/>
    </row>
    <row r="94" spans="1:5">
      <c r="A94" s="278" t="s">
        <v>1688</v>
      </c>
      <c r="B94" s="168" t="s">
        <v>1689</v>
      </c>
      <c r="C94" s="320">
        <v>3</v>
      </c>
      <c r="D94" s="609"/>
      <c r="E94" s="609"/>
    </row>
    <row r="95" spans="1:5">
      <c r="A95" s="278" t="s">
        <v>1690</v>
      </c>
      <c r="B95" s="168" t="s">
        <v>1691</v>
      </c>
      <c r="C95" s="320">
        <v>0.04</v>
      </c>
      <c r="D95" s="609"/>
      <c r="E95" s="609"/>
    </row>
    <row r="96" spans="1:5">
      <c r="A96" s="278"/>
      <c r="B96" s="168"/>
      <c r="C96" s="278"/>
      <c r="D96" s="609"/>
      <c r="E96" s="609"/>
    </row>
    <row r="97" spans="1:4">
      <c r="A97" s="277" t="s">
        <v>1692</v>
      </c>
      <c r="B97" s="168"/>
      <c r="C97" s="278"/>
      <c r="D97" s="609"/>
    </row>
    <row r="98" spans="1:4">
      <c r="A98" s="278" t="s">
        <v>1693</v>
      </c>
      <c r="B98" s="168" t="s">
        <v>1694</v>
      </c>
      <c r="C98" s="278">
        <v>2.75</v>
      </c>
      <c r="D98" s="609"/>
    </row>
    <row r="99" spans="1:4">
      <c r="A99" s="278" t="s">
        <v>1695</v>
      </c>
      <c r="B99" s="168" t="s">
        <v>1696</v>
      </c>
      <c r="C99" s="278">
        <v>3.25</v>
      </c>
      <c r="D99" s="609"/>
    </row>
    <row r="100" spans="1:4">
      <c r="A100" s="278" t="s">
        <v>1697</v>
      </c>
      <c r="B100" s="168" t="s">
        <v>1698</v>
      </c>
      <c r="C100" s="278">
        <v>3.01</v>
      </c>
      <c r="D100" s="609"/>
    </row>
    <row r="101" spans="1:4">
      <c r="A101" s="278" t="s">
        <v>1699</v>
      </c>
      <c r="B101" s="168" t="s">
        <v>1700</v>
      </c>
      <c r="C101" s="278">
        <v>3.45</v>
      </c>
      <c r="D101" s="609"/>
    </row>
    <row r="102" spans="1:4">
      <c r="A102" s="168"/>
      <c r="B102" s="168"/>
      <c r="C102" s="168"/>
      <c r="D102" s="609"/>
    </row>
    <row r="103" spans="1:4">
      <c r="A103" s="168" t="s">
        <v>1701</v>
      </c>
      <c r="B103" s="168" t="s">
        <v>1702</v>
      </c>
      <c r="C103" s="168">
        <v>0.5</v>
      </c>
      <c r="D103" s="609"/>
    </row>
    <row r="104" spans="1:4">
      <c r="A104" s="168" t="s">
        <v>1703</v>
      </c>
      <c r="B104" s="168" t="s">
        <v>1704</v>
      </c>
      <c r="C104" s="168">
        <v>0.5</v>
      </c>
      <c r="D104" s="609"/>
    </row>
    <row r="106" spans="1:4" s="168" customFormat="1" ht="13.9"/>
    <row r="109" spans="1:4" ht="15.6">
      <c r="A109" s="280" t="s">
        <v>1705</v>
      </c>
      <c r="B109" s="278"/>
      <c r="C109" s="278"/>
      <c r="D109" s="278"/>
    </row>
    <row r="110" spans="1:4">
      <c r="A110" s="278"/>
      <c r="B110" s="278"/>
      <c r="C110" s="278"/>
      <c r="D110" s="278"/>
    </row>
    <row r="111" spans="1:4">
      <c r="A111" s="278"/>
      <c r="B111" s="278"/>
      <c r="C111" s="278"/>
      <c r="D111" s="278"/>
    </row>
    <row r="112" spans="1:4">
      <c r="A112" s="277" t="s">
        <v>1706</v>
      </c>
      <c r="B112" s="278"/>
      <c r="C112" s="278"/>
      <c r="D112" s="278"/>
    </row>
    <row r="113" spans="1:4">
      <c r="A113" s="278"/>
      <c r="B113" s="278"/>
      <c r="C113" s="278"/>
      <c r="D113" s="278"/>
    </row>
    <row r="114" spans="1:4">
      <c r="A114" s="279" t="s">
        <v>1707</v>
      </c>
      <c r="B114" s="278"/>
      <c r="C114" s="278"/>
      <c r="D114" s="278"/>
    </row>
    <row r="115" spans="1:4">
      <c r="A115" s="278" t="s">
        <v>1369</v>
      </c>
      <c r="B115" s="278" t="s">
        <v>1708</v>
      </c>
      <c r="C115" s="278" t="s">
        <v>1709</v>
      </c>
      <c r="D115" s="278"/>
    </row>
    <row r="116" spans="1:4">
      <c r="A116" s="278">
        <v>1</v>
      </c>
      <c r="B116" s="278">
        <v>125.9</v>
      </c>
      <c r="C116" s="278">
        <v>131509</v>
      </c>
      <c r="D116" s="278"/>
    </row>
    <row r="117" spans="1:4">
      <c r="A117" s="278">
        <v>2</v>
      </c>
      <c r="B117" s="278">
        <v>127.2</v>
      </c>
      <c r="C117" s="278">
        <v>106379</v>
      </c>
      <c r="D117" s="278"/>
    </row>
    <row r="118" spans="1:4">
      <c r="A118" s="278">
        <v>3</v>
      </c>
      <c r="B118" s="278">
        <v>236.9</v>
      </c>
      <c r="C118" s="278">
        <v>-16353181</v>
      </c>
      <c r="D118" s="278"/>
    </row>
    <row r="119" spans="1:4">
      <c r="A119" s="278"/>
      <c r="B119" s="278"/>
      <c r="C119" s="278"/>
      <c r="D119" s="278"/>
    </row>
    <row r="120" spans="1:4">
      <c r="A120" s="279" t="s">
        <v>1286</v>
      </c>
      <c r="B120" s="278"/>
      <c r="C120" s="278"/>
      <c r="D120" s="278"/>
    </row>
    <row r="121" spans="1:4">
      <c r="A121" s="278" t="s">
        <v>1708</v>
      </c>
      <c r="B121" s="278">
        <v>1.7557</v>
      </c>
      <c r="C121" s="278"/>
      <c r="D121" s="278"/>
    </row>
    <row r="122" spans="1:4">
      <c r="A122" s="278" t="s">
        <v>1710</v>
      </c>
      <c r="B122" s="278">
        <v>0.43969999999999998</v>
      </c>
      <c r="C122" s="278"/>
      <c r="D122" s="278"/>
    </row>
    <row r="123" spans="1:4">
      <c r="A123" s="278"/>
      <c r="B123" s="278"/>
      <c r="C123" s="278"/>
      <c r="D123" s="278"/>
    </row>
    <row r="124" spans="1:4">
      <c r="A124" s="278"/>
      <c r="B124" s="278"/>
      <c r="C124" s="278"/>
      <c r="D124" s="278"/>
    </row>
    <row r="125" spans="1:4">
      <c r="A125" s="279" t="s">
        <v>1711</v>
      </c>
      <c r="B125" s="278"/>
      <c r="C125" s="278"/>
      <c r="D125" s="278"/>
    </row>
    <row r="126" spans="1:4">
      <c r="A126" s="278" t="s">
        <v>1708</v>
      </c>
      <c r="B126" s="278">
        <v>1.1E-5</v>
      </c>
      <c r="C126" s="278"/>
      <c r="D126" s="278"/>
    </row>
    <row r="127" spans="1:4">
      <c r="A127" s="278" t="s">
        <v>1710</v>
      </c>
      <c r="B127" s="278">
        <v>0.97360000000000002</v>
      </c>
      <c r="C127" s="278"/>
      <c r="D127" s="278"/>
    </row>
    <row r="128" spans="1:4">
      <c r="A128" s="278"/>
      <c r="B128" s="278"/>
      <c r="C128" s="278"/>
      <c r="D128" s="278"/>
    </row>
    <row r="129" spans="1:5">
      <c r="A129" s="278" t="s">
        <v>1712</v>
      </c>
      <c r="B129" s="278" t="s">
        <v>1713</v>
      </c>
      <c r="C129" s="278"/>
      <c r="D129" s="278"/>
      <c r="E129" s="609"/>
    </row>
    <row r="130" spans="1:5">
      <c r="A130" s="278" t="s">
        <v>1714</v>
      </c>
      <c r="B130" s="278">
        <v>1.1200000000000001</v>
      </c>
      <c r="C130" s="278"/>
      <c r="D130" s="278"/>
      <c r="E130" s="609"/>
    </row>
    <row r="131" spans="1:5">
      <c r="A131" s="278" t="s">
        <v>1715</v>
      </c>
      <c r="B131" s="278">
        <v>2.2360000000000002</v>
      </c>
      <c r="C131" s="278"/>
      <c r="D131" s="278"/>
      <c r="E131" s="609"/>
    </row>
    <row r="132" spans="1:5">
      <c r="A132" s="278" t="s">
        <v>1716</v>
      </c>
      <c r="B132" s="278">
        <v>1.2030000000000001</v>
      </c>
      <c r="C132" s="278"/>
      <c r="D132" s="278"/>
      <c r="E132" s="609"/>
    </row>
    <row r="133" spans="1:5">
      <c r="A133" s="278"/>
      <c r="B133" s="278"/>
      <c r="C133" s="278"/>
      <c r="D133" s="278"/>
      <c r="E133" s="609"/>
    </row>
    <row r="134" spans="1:5">
      <c r="A134" s="278" t="s">
        <v>327</v>
      </c>
      <c r="B134" s="278" t="s">
        <v>1717</v>
      </c>
      <c r="C134" s="278" t="s">
        <v>1718</v>
      </c>
      <c r="D134" s="278" t="s">
        <v>1719</v>
      </c>
      <c r="E134" s="278" t="s">
        <v>1720</v>
      </c>
    </row>
    <row r="135" spans="1:5">
      <c r="A135" s="82" t="s">
        <v>1101</v>
      </c>
      <c r="B135" s="82">
        <v>1.004</v>
      </c>
      <c r="C135" s="82">
        <v>0.93600000000000005</v>
      </c>
      <c r="D135" s="575">
        <v>1</v>
      </c>
      <c r="E135" s="575">
        <v>0.7752</v>
      </c>
    </row>
    <row r="136" spans="1:5">
      <c r="A136" s="82" t="s">
        <v>1102</v>
      </c>
      <c r="B136" s="82">
        <v>1.004</v>
      </c>
      <c r="C136" s="82">
        <v>0.94199999999999995</v>
      </c>
      <c r="D136" s="82">
        <v>1</v>
      </c>
      <c r="E136" s="82">
        <v>0.7752</v>
      </c>
    </row>
    <row r="137" spans="1:5">
      <c r="A137" s="82" t="s">
        <v>1104</v>
      </c>
      <c r="B137" s="82">
        <v>1.006</v>
      </c>
      <c r="C137" s="82">
        <v>0.92700000000000005</v>
      </c>
      <c r="D137" s="82">
        <v>1.3859999999999999</v>
      </c>
      <c r="E137" s="82">
        <v>0.60860000000000003</v>
      </c>
    </row>
    <row r="138" spans="1:5">
      <c r="A138" s="82" t="s">
        <v>1105</v>
      </c>
      <c r="B138" s="82">
        <v>0.98</v>
      </c>
      <c r="C138" s="82">
        <v>0.91</v>
      </c>
      <c r="D138" s="82">
        <v>0.51370000000000005</v>
      </c>
      <c r="E138" s="82">
        <v>0.73499999999999999</v>
      </c>
    </row>
    <row r="139" spans="1:5">
      <c r="A139" s="82" t="s">
        <v>1106</v>
      </c>
      <c r="B139" s="82">
        <v>1.0169999999999999</v>
      </c>
      <c r="C139" s="82">
        <v>0.93500000000000005</v>
      </c>
      <c r="D139" s="82">
        <v>0.34710000000000002</v>
      </c>
      <c r="E139" s="82" t="s">
        <v>1721</v>
      </c>
    </row>
    <row r="140" spans="1:5">
      <c r="A140" s="82" t="s">
        <v>1107</v>
      </c>
      <c r="B140" s="82">
        <v>1.0129999999999999</v>
      </c>
      <c r="C140" s="82">
        <v>0.94699999999999995</v>
      </c>
      <c r="D140" s="82">
        <v>0.91900000000000004</v>
      </c>
      <c r="E140" s="82">
        <v>0.9758</v>
      </c>
    </row>
    <row r="141" spans="1:5">
      <c r="A141" s="281" t="s">
        <v>1108</v>
      </c>
      <c r="B141" s="281">
        <v>0.97</v>
      </c>
      <c r="C141" s="281">
        <v>0.89200000000000002</v>
      </c>
      <c r="D141" s="281">
        <v>0.78949999999999998</v>
      </c>
      <c r="E141" s="281">
        <v>0.55700000000000005</v>
      </c>
    </row>
    <row r="142" spans="1:5">
      <c r="A142" s="278"/>
      <c r="B142" s="278"/>
      <c r="C142" s="278"/>
      <c r="D142" s="278"/>
      <c r="E142" s="609"/>
    </row>
    <row r="143" spans="1:5">
      <c r="A143" s="278"/>
      <c r="B143" s="278"/>
      <c r="C143" s="278"/>
      <c r="D143" s="278"/>
      <c r="E143" s="609"/>
    </row>
    <row r="144" spans="1:5">
      <c r="A144" s="277" t="s">
        <v>325</v>
      </c>
      <c r="B144" s="278"/>
      <c r="C144" s="278"/>
      <c r="D144" s="278"/>
      <c r="E144" s="609"/>
    </row>
    <row r="145" spans="1:4">
      <c r="A145" s="278"/>
      <c r="B145" s="278"/>
      <c r="C145" s="278"/>
      <c r="D145" s="278"/>
    </row>
    <row r="146" spans="1:4">
      <c r="A146" s="279" t="s">
        <v>1707</v>
      </c>
      <c r="B146" s="278"/>
      <c r="C146" s="278"/>
      <c r="D146" s="278"/>
    </row>
    <row r="147" spans="1:4">
      <c r="A147" s="278" t="s">
        <v>1369</v>
      </c>
      <c r="B147" s="278" t="s">
        <v>1708</v>
      </c>
      <c r="C147" s="278" t="s">
        <v>1709</v>
      </c>
      <c r="D147" s="278"/>
    </row>
    <row r="148" spans="1:4">
      <c r="A148" s="278">
        <v>1</v>
      </c>
      <c r="B148" s="278">
        <v>0.7792</v>
      </c>
      <c r="C148" s="278">
        <v>2416</v>
      </c>
      <c r="D148" s="278"/>
    </row>
    <row r="149" spans="1:4">
      <c r="A149" s="278">
        <v>2</v>
      </c>
      <c r="B149" s="278">
        <v>0.7218</v>
      </c>
      <c r="C149" s="278">
        <v>3564</v>
      </c>
      <c r="D149" s="278"/>
    </row>
    <row r="150" spans="1:4">
      <c r="A150" s="278">
        <v>3</v>
      </c>
      <c r="B150" s="278">
        <v>0.93059999999999998</v>
      </c>
      <c r="C150" s="278">
        <v>-27755</v>
      </c>
      <c r="D150" s="278"/>
    </row>
    <row r="151" spans="1:4">
      <c r="A151" s="278"/>
      <c r="B151" s="278"/>
      <c r="C151" s="278"/>
      <c r="D151" s="278"/>
    </row>
    <row r="152" spans="1:4">
      <c r="A152" s="279" t="s">
        <v>1286</v>
      </c>
      <c r="B152" s="278"/>
      <c r="C152" s="278"/>
      <c r="D152" s="278"/>
    </row>
    <row r="153" spans="1:4">
      <c r="A153" s="278" t="s">
        <v>1708</v>
      </c>
      <c r="B153" s="278">
        <v>2.1326999999999998</v>
      </c>
      <c r="C153" s="278"/>
      <c r="D153" s="278"/>
    </row>
    <row r="154" spans="1:4">
      <c r="A154" s="278" t="s">
        <v>1710</v>
      </c>
      <c r="B154" s="278">
        <v>0.46510000000000001</v>
      </c>
      <c r="C154" s="278"/>
      <c r="D154" s="278"/>
    </row>
    <row r="155" spans="1:4">
      <c r="A155" s="278"/>
      <c r="B155" s="278"/>
      <c r="C155" s="278"/>
      <c r="D155" s="278"/>
    </row>
    <row r="156" spans="1:4">
      <c r="A156" s="278"/>
      <c r="B156" s="278"/>
      <c r="C156" s="278"/>
      <c r="D156" s="278"/>
    </row>
    <row r="157" spans="1:4">
      <c r="A157" s="279" t="s">
        <v>1711</v>
      </c>
      <c r="B157" s="278"/>
      <c r="C157" s="278"/>
      <c r="D157" s="278"/>
    </row>
    <row r="158" spans="1:4">
      <c r="A158" s="278" t="s">
        <v>1708</v>
      </c>
      <c r="B158" s="278">
        <v>4.1300000000000001E-4</v>
      </c>
      <c r="C158" s="278"/>
      <c r="D158" s="278"/>
    </row>
    <row r="159" spans="1:4">
      <c r="A159" s="278" t="s">
        <v>1710</v>
      </c>
      <c r="B159" s="278">
        <v>0.84423000000000004</v>
      </c>
      <c r="C159" s="278"/>
      <c r="D159" s="278"/>
    </row>
    <row r="160" spans="1:4">
      <c r="A160" s="278"/>
      <c r="B160" s="278"/>
      <c r="C160" s="278"/>
      <c r="D160" s="278"/>
    </row>
    <row r="161" spans="1:6">
      <c r="A161" s="278" t="s">
        <v>1722</v>
      </c>
      <c r="B161" s="278" t="s">
        <v>1713</v>
      </c>
      <c r="C161" s="278"/>
      <c r="D161" s="278"/>
      <c r="E161" s="609"/>
      <c r="F161" s="609"/>
    </row>
    <row r="162" spans="1:6">
      <c r="A162" s="278" t="s">
        <v>1714</v>
      </c>
      <c r="B162" s="278">
        <v>1.1919999999999999</v>
      </c>
      <c r="C162" s="278"/>
      <c r="D162" s="278"/>
      <c r="E162" s="609"/>
      <c r="F162" s="609"/>
    </row>
    <row r="163" spans="1:6">
      <c r="A163" s="278"/>
      <c r="B163" s="278"/>
      <c r="C163" s="278"/>
      <c r="D163" s="278"/>
      <c r="E163" s="609"/>
      <c r="F163" s="609"/>
    </row>
    <row r="166" spans="1:6" ht="15.6">
      <c r="A166" s="158" t="s">
        <v>1723</v>
      </c>
      <c r="B166" s="609"/>
      <c r="C166" s="609"/>
      <c r="D166" s="609"/>
      <c r="E166" s="609"/>
      <c r="F166" s="609"/>
    </row>
    <row r="167" spans="1:6">
      <c r="A167" s="355" t="s">
        <v>1673</v>
      </c>
      <c r="B167" s="609"/>
      <c r="C167" s="609"/>
      <c r="D167" s="609"/>
      <c r="E167" s="609"/>
      <c r="F167" s="609"/>
    </row>
    <row r="168" spans="1:6">
      <c r="A168" s="168" t="s">
        <v>1724</v>
      </c>
      <c r="B168" s="168" t="s">
        <v>1725</v>
      </c>
      <c r="C168" s="168">
        <v>9.8000000000000007</v>
      </c>
      <c r="D168" s="168"/>
      <c r="E168" s="168"/>
      <c r="F168" s="168"/>
    </row>
    <row r="169" spans="1:6">
      <c r="A169" s="168" t="s">
        <v>1726</v>
      </c>
      <c r="B169" s="168" t="s">
        <v>1727</v>
      </c>
      <c r="C169" s="168">
        <v>23087</v>
      </c>
      <c r="D169" s="168"/>
      <c r="E169" s="168"/>
      <c r="F169" s="168"/>
    </row>
    <row r="170" spans="1:6">
      <c r="A170" s="168" t="s">
        <v>1728</v>
      </c>
      <c r="B170" s="168" t="s">
        <v>1729</v>
      </c>
      <c r="C170" s="168">
        <v>10692</v>
      </c>
      <c r="D170" s="168"/>
      <c r="E170" s="168"/>
      <c r="F170" s="168"/>
    </row>
    <row r="171" spans="1:6">
      <c r="A171" s="168" t="s">
        <v>1730</v>
      </c>
      <c r="B171" s="168" t="s">
        <v>1731</v>
      </c>
      <c r="C171" s="168">
        <v>2.5510000000000002</v>
      </c>
      <c r="D171" s="168"/>
      <c r="E171" s="168"/>
      <c r="F171" s="168"/>
    </row>
    <row r="172" spans="1:6">
      <c r="A172" s="168" t="s">
        <v>1732</v>
      </c>
      <c r="B172" s="168" t="s">
        <v>1733</v>
      </c>
      <c r="C172" s="168">
        <v>4723</v>
      </c>
      <c r="D172" s="168"/>
      <c r="E172" s="168"/>
      <c r="F172" s="168"/>
    </row>
    <row r="173" spans="1:6">
      <c r="A173" s="168" t="s">
        <v>1734</v>
      </c>
      <c r="B173" s="168" t="s">
        <v>1735</v>
      </c>
      <c r="C173" s="168">
        <v>2</v>
      </c>
      <c r="D173" s="168"/>
      <c r="E173" s="168"/>
      <c r="F173" s="168"/>
    </row>
    <row r="174" spans="1:6">
      <c r="A174" s="168" t="s">
        <v>1736</v>
      </c>
      <c r="B174" s="168" t="s">
        <v>1737</v>
      </c>
      <c r="C174" s="168">
        <v>1212</v>
      </c>
      <c r="D174" s="168"/>
      <c r="E174" s="168"/>
      <c r="F174" s="168"/>
    </row>
    <row r="175" spans="1:6">
      <c r="A175" s="168" t="s">
        <v>1738</v>
      </c>
      <c r="B175" s="168" t="s">
        <v>1739</v>
      </c>
      <c r="C175" s="168">
        <v>1.06</v>
      </c>
      <c r="D175" s="168"/>
      <c r="E175" s="168"/>
      <c r="F175" s="168"/>
    </row>
    <row r="176" spans="1:6">
      <c r="A176" s="168"/>
      <c r="B176" s="168"/>
      <c r="C176" s="168"/>
      <c r="D176" s="168"/>
      <c r="E176" s="168"/>
      <c r="F176" s="168"/>
    </row>
    <row r="177" spans="1:7">
      <c r="A177" s="168" t="s">
        <v>1740</v>
      </c>
      <c r="B177" s="168" t="s">
        <v>1741</v>
      </c>
      <c r="C177" s="168">
        <v>2.25</v>
      </c>
      <c r="D177" s="168"/>
      <c r="E177" s="168"/>
      <c r="F177" s="168"/>
      <c r="G177" s="609"/>
    </row>
    <row r="178" spans="1:7">
      <c r="A178" s="168" t="s">
        <v>1633</v>
      </c>
      <c r="B178" s="168" t="s">
        <v>1742</v>
      </c>
      <c r="C178" s="168">
        <v>-3.859</v>
      </c>
      <c r="D178" s="168"/>
      <c r="E178" s="168"/>
      <c r="F178" s="168"/>
      <c r="G178" s="609"/>
    </row>
    <row r="179" spans="1:7">
      <c r="A179" s="168" t="s">
        <v>1743</v>
      </c>
      <c r="B179" s="168" t="s">
        <v>1744</v>
      </c>
      <c r="C179" s="168">
        <v>1.703212009</v>
      </c>
      <c r="D179" s="168"/>
      <c r="E179" s="168"/>
      <c r="F179" s="168"/>
      <c r="G179" s="609"/>
    </row>
    <row r="180" spans="1:7">
      <c r="A180" s="168" t="s">
        <v>1745</v>
      </c>
      <c r="B180" s="168" t="s">
        <v>1746</v>
      </c>
      <c r="C180" s="168">
        <v>-4.796797991</v>
      </c>
      <c r="D180" s="168"/>
      <c r="E180" s="168"/>
      <c r="F180" s="168"/>
      <c r="G180" s="609"/>
    </row>
    <row r="181" spans="1:7">
      <c r="A181" s="168" t="s">
        <v>1747</v>
      </c>
      <c r="B181" s="168" t="s">
        <v>1748</v>
      </c>
      <c r="C181" s="168">
        <v>0.5</v>
      </c>
      <c r="D181" s="168"/>
      <c r="E181" s="168"/>
      <c r="F181" s="168"/>
      <c r="G181" s="609"/>
    </row>
    <row r="182" spans="1:7">
      <c r="A182" s="168"/>
      <c r="B182" s="168"/>
      <c r="C182" s="168"/>
      <c r="D182" s="168"/>
      <c r="E182" s="168"/>
      <c r="F182" s="168"/>
      <c r="G182" s="609"/>
    </row>
    <row r="183" spans="1:7">
      <c r="A183" s="168"/>
      <c r="B183" s="168"/>
      <c r="C183" s="168"/>
      <c r="D183" s="168"/>
      <c r="E183" s="168"/>
      <c r="F183" s="168"/>
      <c r="G183" s="609"/>
    </row>
    <row r="184" spans="1:7">
      <c r="A184" s="355" t="s">
        <v>1749</v>
      </c>
      <c r="B184" s="168"/>
      <c r="C184" s="168"/>
      <c r="D184" s="168"/>
      <c r="E184" s="168"/>
      <c r="F184" s="168"/>
      <c r="G184" s="609"/>
    </row>
    <row r="185" spans="1:7">
      <c r="A185" s="168" t="s">
        <v>1750</v>
      </c>
      <c r="B185" s="168" t="s">
        <v>1751</v>
      </c>
      <c r="C185" s="168">
        <v>55.59</v>
      </c>
      <c r="D185" s="168"/>
      <c r="E185" s="168"/>
      <c r="F185" s="168"/>
      <c r="G185" s="609"/>
    </row>
    <row r="186" spans="1:7">
      <c r="A186" s="168"/>
      <c r="B186" s="168"/>
      <c r="C186" s="168"/>
      <c r="D186" s="168"/>
      <c r="E186" s="168"/>
      <c r="F186" s="168"/>
      <c r="G186" s="609"/>
    </row>
    <row r="187" spans="1:7">
      <c r="A187" s="168" t="s">
        <v>1726</v>
      </c>
      <c r="B187" s="168" t="s">
        <v>1752</v>
      </c>
      <c r="C187" s="168">
        <v>61.28</v>
      </c>
      <c r="D187" s="168"/>
      <c r="E187" s="168"/>
      <c r="F187" s="168"/>
      <c r="G187" s="609"/>
    </row>
    <row r="188" spans="1:7">
      <c r="A188" s="168" t="s">
        <v>1732</v>
      </c>
      <c r="B188" s="168" t="s">
        <v>1753</v>
      </c>
      <c r="C188" s="168">
        <v>19.239999999999998</v>
      </c>
      <c r="D188" s="168"/>
      <c r="E188" s="168"/>
      <c r="F188" s="168"/>
      <c r="G188" s="609"/>
    </row>
    <row r="189" spans="1:7">
      <c r="A189" s="168" t="s">
        <v>1734</v>
      </c>
      <c r="B189" s="168" t="s">
        <v>1754</v>
      </c>
      <c r="C189" s="168">
        <v>2</v>
      </c>
      <c r="D189" s="168"/>
      <c r="E189" s="168"/>
      <c r="F189" s="168"/>
      <c r="G189" s="609"/>
    </row>
    <row r="190" spans="1:7">
      <c r="A190" s="168" t="s">
        <v>1730</v>
      </c>
      <c r="B190" s="168" t="s">
        <v>1755</v>
      </c>
      <c r="C190" s="168">
        <v>3.3799999999999997E-2</v>
      </c>
      <c r="D190" s="168"/>
      <c r="E190" s="168"/>
      <c r="F190" s="168"/>
      <c r="G190" s="609"/>
    </row>
    <row r="191" spans="1:7">
      <c r="A191" s="168" t="s">
        <v>1736</v>
      </c>
      <c r="B191" s="168" t="s">
        <v>1756</v>
      </c>
      <c r="C191" s="168">
        <v>13.84</v>
      </c>
      <c r="D191" s="168"/>
      <c r="E191" s="168"/>
      <c r="F191" s="168"/>
      <c r="G191" s="609"/>
    </row>
    <row r="192" spans="1:7">
      <c r="A192" s="168" t="s">
        <v>1757</v>
      </c>
      <c r="B192" s="168" t="s">
        <v>1758</v>
      </c>
      <c r="C192" s="168">
        <v>0.60799999999999998</v>
      </c>
      <c r="D192" s="168"/>
      <c r="E192" s="168"/>
      <c r="F192" s="168"/>
      <c r="G192" s="609"/>
    </row>
    <row r="193" spans="1:7">
      <c r="A193" s="168"/>
      <c r="B193" s="168"/>
      <c r="C193" s="168"/>
      <c r="D193" s="168"/>
      <c r="E193" s="168"/>
      <c r="F193" s="168"/>
      <c r="G193" s="609"/>
    </row>
    <row r="194" spans="1:7">
      <c r="A194" s="168" t="s">
        <v>1759</v>
      </c>
      <c r="B194" s="168" t="s">
        <v>1760</v>
      </c>
      <c r="C194" s="168">
        <v>0.5</v>
      </c>
      <c r="D194" s="168"/>
      <c r="E194" s="168"/>
      <c r="F194" s="168"/>
      <c r="G194" s="609"/>
    </row>
    <row r="195" spans="1:7">
      <c r="A195" s="168" t="s">
        <v>1761</v>
      </c>
      <c r="B195" s="168" t="s">
        <v>1762</v>
      </c>
      <c r="C195" s="609">
        <v>2.25</v>
      </c>
      <c r="D195" s="168"/>
      <c r="E195" s="168"/>
      <c r="F195" s="168"/>
      <c r="G195" s="609"/>
    </row>
    <row r="196" spans="1:7">
      <c r="A196" s="168" t="s">
        <v>1633</v>
      </c>
      <c r="B196" s="168" t="s">
        <v>1763</v>
      </c>
      <c r="C196" s="168">
        <v>-3.7008999999999999</v>
      </c>
      <c r="D196" s="168"/>
      <c r="E196" s="168"/>
      <c r="F196" s="168"/>
      <c r="G196" s="609"/>
    </row>
    <row r="197" spans="1:7">
      <c r="A197" s="168"/>
      <c r="B197" s="168"/>
      <c r="C197" s="168"/>
      <c r="D197" s="168"/>
      <c r="E197" s="168"/>
      <c r="F197" s="168"/>
      <c r="G197" s="609"/>
    </row>
    <row r="198" spans="1:7">
      <c r="A198" s="168" t="s">
        <v>1701</v>
      </c>
      <c r="B198" s="168" t="s">
        <v>1702</v>
      </c>
      <c r="C198" s="168">
        <v>0.5</v>
      </c>
      <c r="D198" s="168"/>
      <c r="E198" s="168"/>
      <c r="F198" s="168"/>
      <c r="G198" s="609"/>
    </row>
    <row r="199" spans="1:7">
      <c r="A199" s="168" t="s">
        <v>1703</v>
      </c>
      <c r="B199" s="168" t="s">
        <v>1704</v>
      </c>
      <c r="C199" s="168">
        <v>0.5</v>
      </c>
      <c r="D199" s="168"/>
      <c r="E199" s="168"/>
      <c r="F199" s="168"/>
      <c r="G199" s="609"/>
    </row>
    <row r="200" spans="1:7">
      <c r="A200" s="168"/>
      <c r="B200" s="168"/>
      <c r="C200" s="168"/>
      <c r="D200" s="168"/>
      <c r="E200" s="168"/>
      <c r="F200" s="168"/>
      <c r="G200" s="609"/>
    </row>
    <row r="202" spans="1:7" ht="15.6">
      <c r="A202" s="158" t="s">
        <v>1764</v>
      </c>
      <c r="B202" s="609"/>
      <c r="C202" s="609"/>
      <c r="D202" s="609"/>
      <c r="E202" s="609"/>
      <c r="F202" s="609"/>
      <c r="G202" s="609"/>
    </row>
    <row r="204" spans="1:7">
      <c r="A204" s="854" t="s">
        <v>1765</v>
      </c>
      <c r="B204" s="854"/>
      <c r="C204" s="854"/>
      <c r="D204" s="854"/>
      <c r="E204" s="854"/>
      <c r="F204" s="854"/>
      <c r="G204" s="854"/>
    </row>
    <row r="205" spans="1:7" ht="14.45" customHeight="1">
      <c r="A205" s="675"/>
      <c r="B205" s="862" t="s">
        <v>1766</v>
      </c>
      <c r="C205" s="863"/>
      <c r="D205" s="862" t="s">
        <v>1767</v>
      </c>
      <c r="E205" s="863"/>
      <c r="F205" s="862" t="s">
        <v>454</v>
      </c>
      <c r="G205" s="863"/>
    </row>
    <row r="206" spans="1:7">
      <c r="A206" s="161" t="s">
        <v>327</v>
      </c>
      <c r="B206" s="161" t="s">
        <v>150</v>
      </c>
      <c r="C206" s="164" t="s">
        <v>151</v>
      </c>
      <c r="D206" s="161" t="s">
        <v>150</v>
      </c>
      <c r="E206" s="164" t="s">
        <v>151</v>
      </c>
      <c r="F206" s="161" t="s">
        <v>150</v>
      </c>
      <c r="G206" s="164" t="s">
        <v>151</v>
      </c>
    </row>
    <row r="207" spans="1:7">
      <c r="A207" s="165" t="s">
        <v>327</v>
      </c>
      <c r="B207" s="161" t="s">
        <v>1768</v>
      </c>
      <c r="C207" s="164" t="s">
        <v>1769</v>
      </c>
      <c r="D207" s="161" t="s">
        <v>1770</v>
      </c>
      <c r="E207" s="164" t="s">
        <v>1771</v>
      </c>
      <c r="F207" s="161" t="s">
        <v>1772</v>
      </c>
      <c r="G207" s="165" t="s">
        <v>1773</v>
      </c>
    </row>
    <row r="208" spans="1:7">
      <c r="A208" s="676" t="s">
        <v>1101</v>
      </c>
      <c r="B208" s="677">
        <v>6.72</v>
      </c>
      <c r="C208" s="678">
        <v>-1.7139999999999999E-2</v>
      </c>
      <c r="D208" s="677">
        <v>6.77</v>
      </c>
      <c r="E208" s="678">
        <v>-3.2620000000000003E-2</v>
      </c>
      <c r="F208" s="677">
        <v>6.81</v>
      </c>
      <c r="G208" s="679">
        <v>-3.798E-2</v>
      </c>
    </row>
    <row r="209" spans="1:7">
      <c r="A209" s="165" t="s">
        <v>1102</v>
      </c>
      <c r="B209" s="162">
        <v>6.72</v>
      </c>
      <c r="C209" s="163">
        <v>-1.7139999999999999E-2</v>
      </c>
      <c r="D209" s="162">
        <v>6.77</v>
      </c>
      <c r="E209" s="163">
        <v>-3.2620000000000003E-2</v>
      </c>
      <c r="F209" s="162">
        <v>6.81</v>
      </c>
      <c r="G209" s="166">
        <v>-3.798E-2</v>
      </c>
    </row>
    <row r="210" spans="1:7">
      <c r="A210" s="165" t="s">
        <v>1103</v>
      </c>
      <c r="B210" s="162">
        <v>6.45</v>
      </c>
      <c r="C210" s="163">
        <v>-3.3230000000000003E-2</v>
      </c>
      <c r="D210" s="162">
        <v>6.48</v>
      </c>
      <c r="E210" s="163">
        <v>-6.1219999999999997E-2</v>
      </c>
      <c r="F210" s="162">
        <v>6.29</v>
      </c>
      <c r="G210" s="166">
        <v>-4.9540000000000001E-2</v>
      </c>
    </row>
    <row r="211" spans="1:7">
      <c r="A211" s="165" t="s">
        <v>1104</v>
      </c>
      <c r="B211" s="167">
        <v>7.12</v>
      </c>
      <c r="C211" s="163">
        <v>-2.1899999999999999E-2</v>
      </c>
      <c r="D211" s="167">
        <v>8.4</v>
      </c>
      <c r="E211" s="163">
        <v>-5.4800000000000001E-2</v>
      </c>
      <c r="F211" s="167">
        <v>6.3</v>
      </c>
      <c r="G211" s="166">
        <v>-3.6519999999999997E-2</v>
      </c>
    </row>
    <row r="212" spans="1:7">
      <c r="A212" s="165" t="s">
        <v>1105</v>
      </c>
      <c r="B212" s="162">
        <v>6.52</v>
      </c>
      <c r="C212" s="163">
        <v>-2.998E-2</v>
      </c>
      <c r="D212" s="162">
        <v>6.67</v>
      </c>
      <c r="E212" s="163">
        <v>-5.1880000000000003E-2</v>
      </c>
      <c r="F212" s="162">
        <v>6.3</v>
      </c>
      <c r="G212" s="166">
        <v>-6.5729999999999997E-2</v>
      </c>
    </row>
    <row r="213" spans="1:7">
      <c r="A213" s="165" t="s">
        <v>1106</v>
      </c>
      <c r="B213" s="162">
        <v>6.55</v>
      </c>
      <c r="C213" s="163">
        <v>-1.5100000000000001E-2</v>
      </c>
      <c r="D213" s="162">
        <v>6.78</v>
      </c>
      <c r="E213" s="163">
        <v>-2.7050000000000001E-2</v>
      </c>
      <c r="F213" s="162">
        <v>6.29</v>
      </c>
      <c r="G213" s="166">
        <v>-3.4180000000000002E-2</v>
      </c>
    </row>
    <row r="214" spans="1:7">
      <c r="A214" s="165" t="s">
        <v>1107</v>
      </c>
      <c r="B214" s="162">
        <v>7.02</v>
      </c>
      <c r="C214" s="163">
        <v>-1.813E-2</v>
      </c>
      <c r="D214" s="162">
        <v>6.74</v>
      </c>
      <c r="E214" s="163">
        <v>-2.6929999999999999E-2</v>
      </c>
      <c r="F214" s="162">
        <v>6.8</v>
      </c>
      <c r="G214" s="166">
        <v>-3.1359999999999999E-2</v>
      </c>
    </row>
    <row r="215" spans="1:7">
      <c r="A215" s="165" t="s">
        <v>1108</v>
      </c>
      <c r="B215" s="167">
        <v>7.3</v>
      </c>
      <c r="C215" s="163">
        <v>-3.1199999999999999E-2</v>
      </c>
      <c r="D215" s="167">
        <v>7.7</v>
      </c>
      <c r="E215" s="163">
        <v>-5.9299999999999999E-2</v>
      </c>
      <c r="F215" s="167">
        <v>6.3</v>
      </c>
      <c r="G215" s="166">
        <v>-4.6309999999999997E-2</v>
      </c>
    </row>
    <row r="217" spans="1:7">
      <c r="A217" s="277" t="s">
        <v>1672</v>
      </c>
      <c r="B217" s="278"/>
      <c r="C217" s="609"/>
      <c r="D217" s="609"/>
      <c r="E217" s="609"/>
      <c r="F217" s="609"/>
      <c r="G217" s="609"/>
    </row>
    <row r="218" spans="1:7">
      <c r="A218" s="277" t="s">
        <v>1673</v>
      </c>
      <c r="B218" s="278"/>
      <c r="C218" s="609"/>
      <c r="D218" s="609"/>
      <c r="E218" s="609"/>
      <c r="F218" s="609"/>
      <c r="G218" s="609"/>
    </row>
    <row r="219" spans="1:7" ht="14.45" customHeight="1">
      <c r="A219" s="168" t="s">
        <v>1774</v>
      </c>
      <c r="B219" s="168"/>
      <c r="C219" s="168"/>
      <c r="D219" s="609"/>
      <c r="E219" s="609"/>
      <c r="F219" s="609"/>
      <c r="G219" s="609"/>
    </row>
    <row r="220" spans="1:7">
      <c r="A220" s="168" t="s">
        <v>1775</v>
      </c>
      <c r="B220" s="168" t="s">
        <v>1776</v>
      </c>
      <c r="C220" s="168">
        <v>4.12</v>
      </c>
      <c r="D220" s="609"/>
      <c r="E220" s="609"/>
      <c r="F220" s="609"/>
      <c r="G220" s="609"/>
    </row>
    <row r="221" spans="1:7">
      <c r="A221" s="168" t="s">
        <v>1777</v>
      </c>
      <c r="B221" s="168" t="s">
        <v>1778</v>
      </c>
      <c r="C221" s="168">
        <f>4.12*3.6</f>
        <v>14.832000000000001</v>
      </c>
      <c r="D221" s="609"/>
      <c r="E221" s="609"/>
      <c r="F221" s="609"/>
      <c r="G221" s="609"/>
    </row>
    <row r="222" spans="1:7">
      <c r="A222" s="168" t="s">
        <v>1779</v>
      </c>
      <c r="B222" s="168" t="s">
        <v>1780</v>
      </c>
      <c r="C222" s="168">
        <v>43.6</v>
      </c>
      <c r="D222" s="609"/>
      <c r="E222" s="609"/>
      <c r="F222" s="609"/>
      <c r="G222" s="609"/>
    </row>
    <row r="223" spans="1:7">
      <c r="A223" s="168" t="s">
        <v>1781</v>
      </c>
      <c r="B223" s="168" t="s">
        <v>1782</v>
      </c>
      <c r="C223" s="168">
        <f>-0.0016/0.23</f>
        <v>-6.956521739130435E-3</v>
      </c>
      <c r="D223" s="609"/>
      <c r="E223" s="609"/>
      <c r="F223" s="609"/>
      <c r="G223" s="609"/>
    </row>
    <row r="224" spans="1:7">
      <c r="A224" s="168" t="s">
        <v>1783</v>
      </c>
      <c r="B224" s="168" t="s">
        <v>1784</v>
      </c>
      <c r="C224" s="168">
        <f>-0.091/0.94</f>
        <v>-9.6808510638297873E-2</v>
      </c>
      <c r="D224" s="609"/>
      <c r="E224" s="609"/>
      <c r="F224" s="609"/>
      <c r="G224" s="609"/>
    </row>
    <row r="225" spans="1:19">
      <c r="A225" s="168" t="s">
        <v>1785</v>
      </c>
      <c r="B225" s="168" t="s">
        <v>1786</v>
      </c>
      <c r="C225" s="168">
        <v>6.2E-2</v>
      </c>
      <c r="D225" s="609"/>
      <c r="E225" s="609"/>
      <c r="F225" s="168" t="s">
        <v>355</v>
      </c>
      <c r="G225" s="609"/>
      <c r="H225" s="609"/>
      <c r="I225" s="609"/>
      <c r="J225" s="609"/>
      <c r="K225" s="609"/>
      <c r="L225" s="609"/>
      <c r="M225" s="609"/>
      <c r="N225" s="609"/>
      <c r="O225" s="609"/>
      <c r="P225" s="609"/>
      <c r="Q225" s="609"/>
      <c r="R225" s="609"/>
      <c r="S225" s="609"/>
    </row>
    <row r="226" spans="1:19">
      <c r="A226" s="168" t="s">
        <v>1787</v>
      </c>
      <c r="B226" s="168" t="s">
        <v>1788</v>
      </c>
      <c r="C226" s="168">
        <v>400</v>
      </c>
      <c r="D226" s="609"/>
      <c r="E226" s="609"/>
      <c r="F226" s="609"/>
      <c r="G226" s="609"/>
      <c r="H226" s="609"/>
      <c r="I226" s="609"/>
      <c r="J226" s="609"/>
      <c r="K226" s="609"/>
      <c r="L226" s="609"/>
      <c r="M226" s="609"/>
      <c r="N226" s="609"/>
      <c r="O226" s="609"/>
      <c r="P226" s="609"/>
      <c r="Q226" s="609"/>
      <c r="R226" s="609"/>
      <c r="S226" s="609"/>
    </row>
    <row r="227" spans="1:19">
      <c r="A227" s="168" t="s">
        <v>1789</v>
      </c>
      <c r="B227" s="168" t="s">
        <v>1790</v>
      </c>
      <c r="C227" s="168">
        <v>0.94</v>
      </c>
      <c r="D227" s="609"/>
      <c r="E227" s="609"/>
      <c r="F227" s="609"/>
      <c r="G227" s="609"/>
      <c r="H227" s="609"/>
      <c r="I227" s="609"/>
      <c r="J227" s="609"/>
      <c r="K227" s="609"/>
      <c r="L227" s="609"/>
      <c r="M227" s="609"/>
      <c r="N227" s="609"/>
      <c r="O227" s="609"/>
      <c r="P227" s="609"/>
      <c r="Q227" s="609"/>
      <c r="R227" s="609"/>
      <c r="S227" s="609"/>
    </row>
    <row r="228" spans="1:19">
      <c r="A228" s="168"/>
      <c r="B228" s="168"/>
      <c r="C228" s="168"/>
      <c r="D228" s="609"/>
      <c r="E228" s="609"/>
      <c r="F228" s="609"/>
      <c r="G228" s="609"/>
      <c r="H228" s="609"/>
      <c r="I228" s="609"/>
      <c r="J228" s="609"/>
      <c r="K228" s="609"/>
      <c r="L228" s="609"/>
      <c r="M228" s="609"/>
      <c r="N228" s="609"/>
      <c r="O228" s="609"/>
      <c r="P228" s="609"/>
      <c r="Q228" s="609"/>
      <c r="R228" s="609"/>
      <c r="S228" s="609"/>
    </row>
    <row r="229" spans="1:19">
      <c r="A229" s="168" t="s">
        <v>1791</v>
      </c>
      <c r="B229" s="168" t="s">
        <v>1792</v>
      </c>
      <c r="C229" s="168">
        <v>6.5000099999999996</v>
      </c>
      <c r="D229" s="609"/>
      <c r="E229" s="609"/>
      <c r="F229" s="609" t="s">
        <v>1793</v>
      </c>
      <c r="G229" s="609"/>
      <c r="H229" s="609"/>
      <c r="I229" s="609"/>
      <c r="J229" s="609"/>
      <c r="K229" s="609"/>
      <c r="L229" s="609"/>
      <c r="M229" s="609"/>
      <c r="N229" s="609"/>
      <c r="O229" s="609"/>
      <c r="P229" s="609"/>
      <c r="Q229" s="609"/>
      <c r="R229" s="609"/>
      <c r="S229" s="609"/>
    </row>
    <row r="230" spans="1:19">
      <c r="A230" s="168"/>
      <c r="B230" s="168"/>
      <c r="C230" s="168"/>
      <c r="D230" s="609"/>
      <c r="E230" s="609"/>
      <c r="F230" s="609"/>
      <c r="G230" s="609"/>
      <c r="H230" s="609"/>
      <c r="I230" s="609"/>
      <c r="J230" s="609"/>
      <c r="K230" s="609"/>
      <c r="L230" s="609"/>
      <c r="M230" s="609"/>
      <c r="N230" s="609"/>
      <c r="O230" s="609"/>
      <c r="P230" s="609"/>
      <c r="Q230" s="609"/>
      <c r="R230" s="609"/>
      <c r="S230" s="609"/>
    </row>
    <row r="231" spans="1:19">
      <c r="A231" s="168" t="s">
        <v>1794</v>
      </c>
      <c r="B231" s="168"/>
      <c r="C231" s="168"/>
      <c r="D231" s="609"/>
      <c r="E231" s="609"/>
      <c r="F231" s="609"/>
      <c r="G231" s="609"/>
      <c r="H231" s="609"/>
      <c r="I231" s="168"/>
      <c r="J231" s="168"/>
      <c r="K231" s="168"/>
      <c r="L231" s="609"/>
      <c r="M231" s="609"/>
      <c r="N231" s="609"/>
      <c r="O231" s="609"/>
      <c r="P231" s="609"/>
      <c r="Q231" s="609"/>
      <c r="R231" s="168"/>
      <c r="S231" s="168"/>
    </row>
    <row r="232" spans="1:19">
      <c r="A232" s="168" t="s">
        <v>1795</v>
      </c>
      <c r="B232" s="168" t="s">
        <v>1796</v>
      </c>
      <c r="C232" s="168">
        <v>8.9999999999999998E-4</v>
      </c>
      <c r="D232" s="609"/>
      <c r="E232" s="609"/>
      <c r="F232" s="609"/>
      <c r="G232" s="609"/>
      <c r="H232" s="609"/>
      <c r="I232" s="168"/>
      <c r="J232" s="168"/>
      <c r="K232" s="168"/>
      <c r="L232" s="609"/>
      <c r="M232" s="609"/>
      <c r="N232" s="609"/>
      <c r="O232" s="609"/>
      <c r="P232" s="609"/>
      <c r="Q232" s="609"/>
      <c r="R232" s="168"/>
      <c r="S232" s="168"/>
    </row>
    <row r="233" spans="1:19" ht="14.45" customHeight="1">
      <c r="A233" s="168" t="s">
        <v>1797</v>
      </c>
      <c r="B233" s="168" t="s">
        <v>1798</v>
      </c>
      <c r="C233" s="168">
        <v>0.64</v>
      </c>
      <c r="D233" s="609"/>
      <c r="E233" s="609"/>
      <c r="F233" s="609"/>
      <c r="G233" s="609"/>
      <c r="H233" s="609"/>
      <c r="I233" s="609"/>
      <c r="J233" s="609"/>
      <c r="K233" s="609"/>
      <c r="L233" s="609"/>
      <c r="M233" s="609"/>
      <c r="N233" s="609"/>
      <c r="O233" s="609"/>
      <c r="P233" s="609"/>
      <c r="Q233" s="609"/>
      <c r="R233" s="609"/>
      <c r="S233" s="609"/>
    </row>
    <row r="234" spans="1:19">
      <c r="A234" s="168" t="s">
        <v>1799</v>
      </c>
      <c r="B234" s="168" t="s">
        <v>1800</v>
      </c>
      <c r="C234" s="168">
        <v>2.3000000000000001E-4</v>
      </c>
      <c r="D234" s="609"/>
      <c r="E234" s="609"/>
      <c r="F234" s="609"/>
      <c r="G234" s="609"/>
      <c r="H234" s="609"/>
      <c r="I234" s="609"/>
      <c r="J234" s="609"/>
      <c r="K234" s="609"/>
      <c r="L234" s="609"/>
      <c r="M234" s="609"/>
      <c r="N234" s="609"/>
      <c r="O234" s="609"/>
      <c r="P234" s="609"/>
      <c r="Q234" s="609"/>
      <c r="R234" s="609"/>
      <c r="S234" s="609"/>
    </row>
    <row r="235" spans="1:19">
      <c r="A235" s="168" t="s">
        <v>1801</v>
      </c>
      <c r="B235" s="168" t="s">
        <v>1802</v>
      </c>
      <c r="C235" s="168">
        <v>1.63</v>
      </c>
      <c r="D235" s="609"/>
      <c r="E235" s="609"/>
      <c r="F235" s="609"/>
      <c r="G235" s="609"/>
      <c r="H235" s="609"/>
      <c r="I235" s="609"/>
      <c r="J235" s="609"/>
      <c r="K235" s="609"/>
      <c r="L235" s="609"/>
      <c r="M235" s="609"/>
      <c r="N235" s="609"/>
      <c r="O235" s="609"/>
      <c r="P235" s="609"/>
      <c r="Q235" s="609"/>
      <c r="R235" s="609"/>
      <c r="S235" s="609"/>
    </row>
    <row r="236" spans="1:19">
      <c r="A236" s="168"/>
      <c r="B236" s="168"/>
      <c r="C236" s="168"/>
      <c r="D236" s="609"/>
      <c r="E236" s="609"/>
      <c r="F236" s="609"/>
      <c r="G236" s="609"/>
      <c r="H236" s="609"/>
      <c r="I236" s="609"/>
      <c r="J236" s="609"/>
      <c r="K236" s="609"/>
      <c r="L236" s="609"/>
      <c r="M236" s="609"/>
      <c r="N236" s="609"/>
      <c r="O236" s="609"/>
      <c r="P236" s="609"/>
      <c r="Q236" s="609"/>
      <c r="R236" s="609"/>
      <c r="S236" s="609"/>
    </row>
    <row r="237" spans="1:19">
      <c r="A237" s="277" t="s">
        <v>1749</v>
      </c>
      <c r="B237" s="278"/>
      <c r="C237" s="609"/>
      <c r="D237" s="609"/>
      <c r="E237" s="609"/>
      <c r="F237" s="609"/>
      <c r="G237" s="609"/>
      <c r="H237" s="609"/>
      <c r="I237" s="609"/>
      <c r="J237" s="609"/>
      <c r="K237" s="609"/>
      <c r="L237" s="609"/>
      <c r="M237" s="609"/>
      <c r="N237" s="609"/>
      <c r="O237" s="609"/>
      <c r="P237" s="609"/>
      <c r="Q237" s="609"/>
      <c r="R237" s="609"/>
      <c r="S237" s="609"/>
    </row>
    <row r="238" spans="1:19">
      <c r="A238" s="278" t="s">
        <v>1693</v>
      </c>
      <c r="B238" s="168" t="s">
        <v>1762</v>
      </c>
      <c r="C238" s="168">
        <v>2.25</v>
      </c>
      <c r="D238" s="609"/>
      <c r="E238" s="609"/>
      <c r="F238" s="168" t="s">
        <v>1803</v>
      </c>
      <c r="G238" s="609"/>
      <c r="H238" s="609"/>
      <c r="I238" s="609"/>
      <c r="J238" s="609"/>
      <c r="K238" s="609"/>
      <c r="L238" s="609"/>
      <c r="M238" s="609"/>
      <c r="N238" s="609"/>
      <c r="O238" s="609"/>
      <c r="P238" s="609"/>
      <c r="Q238" s="609"/>
      <c r="R238" s="609"/>
      <c r="S238" s="609"/>
    </row>
    <row r="239" spans="1:19">
      <c r="A239" s="278"/>
      <c r="B239" s="168"/>
      <c r="C239" s="168"/>
      <c r="D239" s="609"/>
      <c r="E239" s="609"/>
      <c r="F239" s="609"/>
      <c r="G239" s="609"/>
      <c r="H239" s="609"/>
      <c r="I239" s="609"/>
      <c r="J239" s="609"/>
      <c r="K239" s="609"/>
      <c r="L239" s="609"/>
      <c r="M239" s="609"/>
      <c r="N239" s="609"/>
      <c r="O239" s="609"/>
      <c r="P239" s="609"/>
      <c r="Q239" s="609"/>
      <c r="R239" s="609"/>
      <c r="S239" s="609"/>
    </row>
    <row r="240" spans="1:19">
      <c r="A240" s="168" t="s">
        <v>1804</v>
      </c>
      <c r="B240" s="168"/>
      <c r="C240" s="168"/>
      <c r="D240" s="609"/>
      <c r="E240" s="609"/>
      <c r="F240" s="609"/>
      <c r="G240" s="609"/>
      <c r="H240" s="609"/>
      <c r="I240" s="168"/>
      <c r="J240" s="168"/>
      <c r="K240" s="168"/>
      <c r="L240" s="609"/>
      <c r="M240" s="609"/>
      <c r="N240" s="609"/>
      <c r="O240" s="609"/>
      <c r="P240" s="609"/>
      <c r="Q240" s="609"/>
      <c r="R240" s="168"/>
      <c r="S240" s="168"/>
    </row>
    <row r="241" spans="1:19">
      <c r="A241" s="168" t="s">
        <v>1805</v>
      </c>
      <c r="B241" s="168" t="s">
        <v>1806</v>
      </c>
      <c r="C241" s="168">
        <v>0.64</v>
      </c>
      <c r="D241" s="609"/>
      <c r="E241" s="609"/>
      <c r="F241" s="609"/>
      <c r="G241" s="609"/>
      <c r="H241" s="609"/>
      <c r="I241" s="168"/>
      <c r="J241" s="168"/>
      <c r="K241" s="168"/>
      <c r="L241" s="609"/>
      <c r="M241" s="609"/>
      <c r="N241" s="609"/>
      <c r="O241" s="609"/>
      <c r="P241" s="609"/>
      <c r="Q241" s="609"/>
      <c r="R241" s="168"/>
      <c r="S241" s="168"/>
    </row>
    <row r="242" spans="1:19">
      <c r="A242" s="168" t="s">
        <v>1807</v>
      </c>
      <c r="B242" s="168" t="s">
        <v>1808</v>
      </c>
      <c r="C242" s="168">
        <v>5.0000000000000001E-3</v>
      </c>
      <c r="D242" s="609"/>
      <c r="E242" s="609"/>
      <c r="F242" s="609"/>
      <c r="G242" s="609"/>
      <c r="H242" s="609"/>
      <c r="I242" s="168"/>
      <c r="J242" s="168"/>
      <c r="K242" s="168"/>
      <c r="L242" s="609"/>
      <c r="M242" s="609"/>
      <c r="N242" s="609"/>
      <c r="O242" s="609"/>
      <c r="P242" s="609"/>
      <c r="Q242" s="609"/>
      <c r="R242" s="168"/>
      <c r="S242" s="168"/>
    </row>
    <row r="243" spans="1:19">
      <c r="A243" s="168" t="s">
        <v>360</v>
      </c>
      <c r="B243" s="168"/>
      <c r="C243" s="168"/>
      <c r="D243" s="609"/>
      <c r="E243" s="609"/>
      <c r="F243" s="609"/>
      <c r="G243" s="609"/>
      <c r="H243" s="609"/>
      <c r="I243" s="609"/>
      <c r="J243" s="609"/>
      <c r="K243" s="609"/>
      <c r="L243" s="609"/>
      <c r="M243" s="609"/>
      <c r="N243" s="609"/>
      <c r="O243" s="609"/>
      <c r="P243" s="609"/>
      <c r="Q243" s="609"/>
      <c r="R243" s="609"/>
      <c r="S243" s="609"/>
    </row>
    <row r="244" spans="1:19">
      <c r="A244" s="168" t="s">
        <v>1633</v>
      </c>
      <c r="B244" s="168" t="s">
        <v>1809</v>
      </c>
      <c r="C244" s="168">
        <v>1.6000000000000001E-3</v>
      </c>
      <c r="D244" s="609"/>
      <c r="E244" s="609"/>
      <c r="F244" s="609"/>
      <c r="G244" s="609"/>
      <c r="H244" s="609"/>
      <c r="I244" s="609"/>
      <c r="J244" s="609"/>
      <c r="K244" s="609"/>
      <c r="L244" s="609"/>
      <c r="M244" s="609"/>
      <c r="N244" s="609"/>
      <c r="O244" s="609"/>
      <c r="P244" s="609"/>
      <c r="Q244" s="609"/>
      <c r="R244" s="609"/>
      <c r="S244" s="609"/>
    </row>
    <row r="245" spans="1:19">
      <c r="A245" s="168" t="s">
        <v>1635</v>
      </c>
      <c r="B245" s="168" t="s">
        <v>1810</v>
      </c>
      <c r="C245" s="168">
        <v>0.35</v>
      </c>
      <c r="D245" s="609"/>
      <c r="E245" s="609"/>
      <c r="F245" s="609"/>
      <c r="G245" s="609"/>
      <c r="H245" s="609"/>
      <c r="I245" s="609"/>
      <c r="J245" s="609"/>
      <c r="K245" s="609"/>
      <c r="L245" s="609"/>
      <c r="M245" s="609"/>
      <c r="N245" s="609"/>
      <c r="O245" s="609"/>
      <c r="P245" s="609"/>
      <c r="Q245" s="609"/>
      <c r="R245" s="609"/>
      <c r="S245" s="609"/>
    </row>
    <row r="246" spans="1:19">
      <c r="A246" s="168"/>
      <c r="B246" s="168"/>
      <c r="C246" s="168"/>
      <c r="D246" s="609"/>
      <c r="E246" s="609"/>
      <c r="F246" s="609"/>
      <c r="G246" s="609"/>
      <c r="H246" s="609"/>
      <c r="I246" s="609"/>
      <c r="J246" s="609"/>
      <c r="K246" s="609"/>
      <c r="L246" s="609"/>
      <c r="M246" s="609"/>
      <c r="N246" s="609"/>
      <c r="O246" s="609"/>
      <c r="P246" s="609"/>
      <c r="Q246" s="609"/>
      <c r="R246" s="609"/>
      <c r="S246" s="609"/>
    </row>
    <row r="247" spans="1:19">
      <c r="A247" s="168" t="s">
        <v>1811</v>
      </c>
      <c r="B247" s="168" t="s">
        <v>1812</v>
      </c>
      <c r="C247" s="168">
        <v>55</v>
      </c>
      <c r="D247" s="609"/>
      <c r="E247" s="609"/>
      <c r="F247" s="609"/>
      <c r="G247" s="609"/>
      <c r="H247" s="609"/>
      <c r="I247" s="609"/>
      <c r="J247" s="609"/>
      <c r="K247" s="609"/>
      <c r="L247" s="609"/>
      <c r="M247" s="609"/>
      <c r="N247" s="609"/>
      <c r="O247" s="609"/>
      <c r="P247" s="609"/>
      <c r="Q247" s="609"/>
      <c r="R247" s="609"/>
      <c r="S247" s="609"/>
    </row>
    <row r="248" spans="1:19">
      <c r="A248" s="168" t="s">
        <v>1813</v>
      </c>
      <c r="B248" s="168" t="s">
        <v>1814</v>
      </c>
      <c r="C248" s="168">
        <v>0.28999999999999998</v>
      </c>
      <c r="D248" s="609"/>
      <c r="E248" s="609"/>
      <c r="F248" s="609"/>
      <c r="G248" s="609"/>
      <c r="H248" s="609"/>
      <c r="I248" s="168"/>
      <c r="J248" s="168"/>
      <c r="K248" s="168"/>
      <c r="L248" s="609"/>
      <c r="M248" s="609"/>
      <c r="N248" s="609"/>
      <c r="O248" s="609"/>
      <c r="P248" s="609"/>
      <c r="Q248" s="609"/>
      <c r="R248" s="168"/>
      <c r="S248" s="168"/>
    </row>
    <row r="249" spans="1:19">
      <c r="A249" s="168"/>
      <c r="B249" s="168"/>
      <c r="C249" s="168"/>
      <c r="D249" s="609"/>
      <c r="E249" s="609"/>
      <c r="F249" s="609"/>
      <c r="G249" s="609"/>
      <c r="H249" s="609"/>
      <c r="I249" s="168"/>
      <c r="J249" s="168"/>
      <c r="K249" s="168"/>
      <c r="L249" s="609"/>
      <c r="M249" s="609"/>
      <c r="N249" s="609"/>
      <c r="O249" s="609"/>
      <c r="P249" s="609"/>
      <c r="Q249" s="609"/>
      <c r="R249" s="168"/>
      <c r="S249" s="168"/>
    </row>
    <row r="250" spans="1:19">
      <c r="A250" s="168" t="s">
        <v>1815</v>
      </c>
      <c r="B250" s="168" t="s">
        <v>1816</v>
      </c>
      <c r="C250" s="168">
        <v>4.5</v>
      </c>
      <c r="D250" s="609"/>
      <c r="E250" s="609"/>
      <c r="F250" s="168">
        <v>4.5000099999999996</v>
      </c>
      <c r="G250" s="168" t="s">
        <v>1817</v>
      </c>
      <c r="H250" s="168"/>
      <c r="I250" s="168"/>
      <c r="J250" s="168"/>
      <c r="K250" s="609"/>
      <c r="L250" s="609"/>
      <c r="M250" s="609"/>
      <c r="N250" s="609"/>
      <c r="O250" s="609"/>
      <c r="P250" s="609"/>
      <c r="Q250" s="609"/>
      <c r="R250" s="609"/>
      <c r="S250" s="609"/>
    </row>
    <row r="251" spans="1:19">
      <c r="A251" s="168"/>
      <c r="B251" s="168"/>
      <c r="C251" s="168"/>
      <c r="D251" s="609"/>
      <c r="E251" s="609"/>
      <c r="F251" s="168"/>
      <c r="G251" s="168"/>
      <c r="H251" s="168"/>
      <c r="I251" s="168"/>
      <c r="J251" s="168"/>
      <c r="K251" s="609"/>
      <c r="L251" s="609"/>
      <c r="M251" s="609"/>
      <c r="N251" s="609"/>
      <c r="O251" s="609"/>
      <c r="P251" s="609"/>
      <c r="Q251" s="609"/>
      <c r="R251" s="609"/>
      <c r="S251" s="609"/>
    </row>
    <row r="252" spans="1:19">
      <c r="A252" s="168" t="s">
        <v>1818</v>
      </c>
      <c r="B252" s="168" t="s">
        <v>1819</v>
      </c>
      <c r="C252" s="168">
        <v>0.5</v>
      </c>
      <c r="D252" s="609"/>
      <c r="E252" s="609"/>
      <c r="F252" s="168">
        <v>0.49998999999999999</v>
      </c>
      <c r="G252" s="168" t="s">
        <v>1817</v>
      </c>
      <c r="H252" s="168"/>
      <c r="I252" s="168" t="s">
        <v>1820</v>
      </c>
      <c r="J252" s="168"/>
      <c r="K252" s="609"/>
      <c r="L252" s="609"/>
      <c r="M252" s="609"/>
      <c r="N252" s="609"/>
      <c r="O252" s="609"/>
      <c r="P252" s="609"/>
      <c r="Q252" s="609"/>
      <c r="R252" s="609"/>
      <c r="S252" s="609"/>
    </row>
    <row r="253" spans="1:19">
      <c r="A253" s="168" t="s">
        <v>1821</v>
      </c>
      <c r="B253" s="168" t="s">
        <v>1822</v>
      </c>
      <c r="C253" s="168">
        <v>0.49998999999999999</v>
      </c>
      <c r="D253" s="609"/>
      <c r="E253" s="609"/>
      <c r="F253" s="168"/>
      <c r="G253" s="168"/>
      <c r="H253" s="168"/>
      <c r="I253" s="168"/>
      <c r="J253" s="168"/>
      <c r="K253" s="609"/>
      <c r="L253" s="609"/>
      <c r="M253" s="609"/>
      <c r="N253" s="609"/>
      <c r="O253" s="609"/>
      <c r="P253" s="609"/>
      <c r="Q253" s="609"/>
      <c r="R253" s="609"/>
      <c r="S253" s="609"/>
    </row>
    <row r="254" spans="1:19">
      <c r="A254" s="168"/>
      <c r="B254" s="168"/>
      <c r="C254" s="168"/>
      <c r="D254" s="609"/>
      <c r="E254" s="609"/>
      <c r="F254" s="168" t="s">
        <v>1823</v>
      </c>
      <c r="G254" s="168"/>
      <c r="H254" s="168"/>
      <c r="I254" s="168"/>
      <c r="J254" s="168"/>
      <c r="K254" s="609"/>
      <c r="L254" s="609"/>
      <c r="M254" s="609"/>
      <c r="N254" s="609"/>
      <c r="O254" s="609"/>
      <c r="P254" s="609"/>
      <c r="Q254" s="609"/>
      <c r="R254" s="609"/>
      <c r="S254" s="609"/>
    </row>
    <row r="255" spans="1:19">
      <c r="A255" s="168" t="s">
        <v>1824</v>
      </c>
      <c r="B255" s="168" t="s">
        <v>1825</v>
      </c>
      <c r="C255" s="168">
        <v>6.5000999999999998</v>
      </c>
      <c r="D255" s="609"/>
      <c r="E255" s="609"/>
      <c r="F255" s="168"/>
      <c r="G255" s="168"/>
      <c r="H255" s="168"/>
      <c r="I255" s="168"/>
      <c r="J255" s="168"/>
      <c r="K255" s="609"/>
      <c r="L255" s="609"/>
      <c r="M255" s="609"/>
      <c r="N255" s="609"/>
      <c r="O255" s="609"/>
      <c r="P255" s="609"/>
      <c r="Q255" s="609"/>
      <c r="R255" s="609"/>
      <c r="S255" s="609"/>
    </row>
    <row r="257" spans="1:7">
      <c r="A257" s="168"/>
      <c r="B257" s="168"/>
      <c r="C257" s="168"/>
      <c r="D257" s="168"/>
      <c r="E257" s="168"/>
      <c r="F257" s="168"/>
      <c r="G257" s="609"/>
    </row>
    <row r="258" spans="1:7">
      <c r="A258" s="168" t="s">
        <v>1701</v>
      </c>
      <c r="B258" s="168" t="s">
        <v>1702</v>
      </c>
      <c r="C258" s="168">
        <v>0.5</v>
      </c>
      <c r="D258" s="168"/>
      <c r="E258" s="168"/>
      <c r="F258" s="168"/>
      <c r="G258" s="609"/>
    </row>
    <row r="259" spans="1:7">
      <c r="A259" s="168" t="s">
        <v>1703</v>
      </c>
      <c r="B259" s="168" t="s">
        <v>1704</v>
      </c>
      <c r="C259" s="168">
        <v>0.5</v>
      </c>
      <c r="D259" s="168"/>
      <c r="E259" s="168"/>
      <c r="F259" s="168"/>
      <c r="G259" s="609"/>
    </row>
    <row r="261" spans="1:7" ht="15.6">
      <c r="A261" s="158" t="s">
        <v>1826</v>
      </c>
      <c r="B261" s="609"/>
      <c r="C261" s="609"/>
      <c r="D261" s="609"/>
      <c r="E261" s="609"/>
      <c r="F261" s="609"/>
      <c r="G261" s="609"/>
    </row>
    <row r="262" spans="1:7">
      <c r="A262" s="355" t="s">
        <v>1673</v>
      </c>
      <c r="B262" s="609"/>
      <c r="C262" s="609"/>
      <c r="D262" s="609"/>
      <c r="E262" s="609"/>
      <c r="F262" s="609"/>
      <c r="G262" s="609"/>
    </row>
    <row r="263" spans="1:7">
      <c r="A263" s="168" t="s">
        <v>1827</v>
      </c>
      <c r="B263" s="168" t="s">
        <v>1828</v>
      </c>
      <c r="C263" s="168">
        <v>16.061</v>
      </c>
      <c r="D263" s="168"/>
      <c r="E263" s="168"/>
      <c r="F263" s="168"/>
      <c r="G263" s="168"/>
    </row>
    <row r="264" spans="1:7">
      <c r="A264" s="168" t="s">
        <v>1443</v>
      </c>
      <c r="B264" s="168" t="s">
        <v>1829</v>
      </c>
      <c r="C264" s="168">
        <v>1.8E-3</v>
      </c>
      <c r="D264" s="168"/>
      <c r="E264" s="168"/>
      <c r="F264" s="168"/>
      <c r="G264" s="168"/>
    </row>
    <row r="265" spans="1:7">
      <c r="A265" s="168" t="s">
        <v>1444</v>
      </c>
      <c r="B265" s="168" t="s">
        <v>1830</v>
      </c>
      <c r="C265" s="168">
        <v>2.2160000000000002</v>
      </c>
      <c r="D265" s="168"/>
      <c r="E265" s="168"/>
      <c r="F265" s="168"/>
      <c r="G265" s="168"/>
    </row>
    <row r="266" spans="1:7">
      <c r="A266" s="168" t="s">
        <v>1831</v>
      </c>
      <c r="B266" s="168" t="s">
        <v>1832</v>
      </c>
      <c r="C266" s="168">
        <v>1500</v>
      </c>
      <c r="D266" s="168"/>
      <c r="E266" s="168"/>
      <c r="F266" s="168"/>
      <c r="G266" s="168"/>
    </row>
    <row r="267" spans="1:7">
      <c r="A267" s="168" t="s">
        <v>1833</v>
      </c>
      <c r="B267" s="168" t="s">
        <v>1834</v>
      </c>
      <c r="C267" s="168">
        <v>1.7</v>
      </c>
      <c r="D267" s="168"/>
      <c r="E267" s="168"/>
      <c r="F267" s="168"/>
      <c r="G267" s="168"/>
    </row>
    <row r="268" spans="1:7">
      <c r="A268" s="168" t="s">
        <v>1835</v>
      </c>
      <c r="B268" s="168" t="s">
        <v>1836</v>
      </c>
      <c r="C268" s="168">
        <f>2*52</f>
        <v>104</v>
      </c>
      <c r="D268" s="168"/>
      <c r="E268" s="168"/>
      <c r="F268" s="168"/>
      <c r="G268" s="168"/>
    </row>
    <row r="269" spans="1:7">
      <c r="A269" s="168"/>
      <c r="B269" s="168"/>
      <c r="C269" s="168"/>
      <c r="D269" s="168"/>
      <c r="E269" s="168"/>
      <c r="F269" s="168"/>
      <c r="G269" s="168"/>
    </row>
    <row r="270" spans="1:7">
      <c r="A270" s="168"/>
      <c r="B270" s="168"/>
      <c r="C270" s="168"/>
      <c r="D270" s="168"/>
      <c r="E270" s="168"/>
      <c r="F270" s="168"/>
      <c r="G270" s="168"/>
    </row>
    <row r="271" spans="1:7">
      <c r="A271" s="168" t="s">
        <v>1447</v>
      </c>
      <c r="B271" s="168"/>
      <c r="C271" s="168"/>
      <c r="D271" s="168"/>
      <c r="E271" s="168"/>
      <c r="F271" s="168"/>
      <c r="G271" s="168"/>
    </row>
    <row r="272" spans="1:7">
      <c r="A272" s="168" t="s">
        <v>1837</v>
      </c>
      <c r="B272" s="168" t="s">
        <v>1838</v>
      </c>
      <c r="C272" s="168">
        <v>1500</v>
      </c>
      <c r="D272" s="168"/>
      <c r="E272" s="168"/>
      <c r="F272" s="168"/>
      <c r="G272" s="609"/>
    </row>
    <row r="273" spans="1:7">
      <c r="A273" s="168" t="s">
        <v>1449</v>
      </c>
      <c r="B273" s="168" t="s">
        <v>1839</v>
      </c>
      <c r="C273" s="168">
        <v>232.2</v>
      </c>
      <c r="D273" s="168"/>
      <c r="E273" s="168"/>
      <c r="F273" s="168"/>
      <c r="G273" s="168"/>
    </row>
    <row r="274" spans="1:7">
      <c r="A274" s="168" t="s">
        <v>1840</v>
      </c>
      <c r="B274" s="168" t="s">
        <v>1841</v>
      </c>
      <c r="C274" s="168">
        <v>7.9999999999999996E-6</v>
      </c>
      <c r="D274" s="168"/>
      <c r="E274" s="168"/>
      <c r="F274" s="168"/>
      <c r="G274" s="168"/>
    </row>
    <row r="275" spans="1:7">
      <c r="A275" s="168" t="s">
        <v>1842</v>
      </c>
      <c r="B275" s="168" t="s">
        <v>1843</v>
      </c>
      <c r="C275" s="168">
        <v>0.18110000000000001</v>
      </c>
      <c r="D275" s="168"/>
      <c r="E275" s="168"/>
      <c r="F275" s="168"/>
      <c r="G275" s="168"/>
    </row>
    <row r="276" spans="1:7">
      <c r="A276" s="168" t="s">
        <v>1844</v>
      </c>
      <c r="B276" s="168" t="s">
        <v>1845</v>
      </c>
      <c r="C276" s="168">
        <v>8.9999999999999998E-4</v>
      </c>
      <c r="D276" s="168"/>
      <c r="E276" s="168"/>
      <c r="F276" s="168"/>
      <c r="G276" s="168"/>
    </row>
    <row r="277" spans="1:7">
      <c r="A277" s="168" t="s">
        <v>1846</v>
      </c>
      <c r="B277" s="168" t="s">
        <v>1847</v>
      </c>
      <c r="C277" s="168">
        <v>0.47399999999999998</v>
      </c>
      <c r="D277" s="168"/>
      <c r="E277" s="168"/>
      <c r="F277" s="168"/>
      <c r="G277" s="168"/>
    </row>
    <row r="278" spans="1:7">
      <c r="A278" s="168" t="s">
        <v>1452</v>
      </c>
      <c r="B278" s="168" t="s">
        <v>1848</v>
      </c>
      <c r="C278" s="168">
        <v>960</v>
      </c>
      <c r="D278" s="168"/>
      <c r="E278" s="168"/>
      <c r="F278" s="168"/>
      <c r="G278" s="168"/>
    </row>
    <row r="279" spans="1:7">
      <c r="A279" s="168" t="s">
        <v>1454</v>
      </c>
      <c r="B279" s="168" t="s">
        <v>1849</v>
      </c>
      <c r="C279" s="168">
        <v>3333.3</v>
      </c>
      <c r="D279" s="168"/>
      <c r="E279" s="168"/>
      <c r="F279" s="168"/>
      <c r="G279" s="168"/>
    </row>
    <row r="280" spans="1:7">
      <c r="A280" s="168"/>
      <c r="B280" s="168"/>
      <c r="C280" s="168"/>
      <c r="D280" s="168"/>
      <c r="E280" s="168"/>
      <c r="F280" s="168"/>
      <c r="G280" s="609"/>
    </row>
    <row r="281" spans="1:7">
      <c r="A281" s="168" t="s">
        <v>1850</v>
      </c>
      <c r="B281" s="168" t="s">
        <v>1851</v>
      </c>
      <c r="C281" s="168">
        <v>0.9</v>
      </c>
      <c r="D281" s="168"/>
      <c r="E281" s="168"/>
      <c r="F281" s="168"/>
      <c r="G281" s="609"/>
    </row>
    <row r="282" spans="1:7">
      <c r="A282" s="168" t="s">
        <v>1852</v>
      </c>
      <c r="B282" s="168" t="s">
        <v>1853</v>
      </c>
      <c r="C282" s="168">
        <f>0.2327/3.6</f>
        <v>6.4638888888888885E-2</v>
      </c>
      <c r="D282" s="168"/>
      <c r="E282" s="168"/>
      <c r="F282" s="168"/>
      <c r="G282" s="168"/>
    </row>
    <row r="283" spans="1:7">
      <c r="A283" s="168"/>
      <c r="B283" s="168"/>
      <c r="C283" s="168"/>
      <c r="D283" s="168"/>
      <c r="E283" s="168"/>
      <c r="F283" s="168"/>
      <c r="G283" s="168"/>
    </row>
    <row r="284" spans="1:7">
      <c r="A284" s="168"/>
      <c r="B284" s="168"/>
      <c r="C284" s="168"/>
      <c r="D284" s="168"/>
      <c r="E284" s="168"/>
      <c r="F284" s="168"/>
      <c r="G284" s="168"/>
    </row>
    <row r="285" spans="1:7">
      <c r="A285" s="355" t="s">
        <v>1749</v>
      </c>
      <c r="B285" s="168"/>
      <c r="C285" s="168"/>
      <c r="D285" s="168"/>
      <c r="E285" s="168"/>
      <c r="F285" s="168"/>
      <c r="G285" s="168"/>
    </row>
    <row r="286" spans="1:7">
      <c r="A286" s="168" t="s">
        <v>1854</v>
      </c>
      <c r="B286" s="168" t="s">
        <v>1855</v>
      </c>
      <c r="C286" s="168">
        <v>0.23069999999999999</v>
      </c>
      <c r="D286" s="168"/>
      <c r="E286" s="168"/>
      <c r="F286" s="168"/>
      <c r="G286" s="168"/>
    </row>
    <row r="287" spans="1:7">
      <c r="A287" s="168" t="s">
        <v>1456</v>
      </c>
      <c r="B287" s="168" t="s">
        <v>1856</v>
      </c>
      <c r="C287" s="168">
        <v>1E-4</v>
      </c>
      <c r="D287" s="168"/>
      <c r="E287" s="168"/>
      <c r="F287" s="168"/>
      <c r="G287" s="168"/>
    </row>
    <row r="288" spans="1:7">
      <c r="A288" s="168" t="s">
        <v>1444</v>
      </c>
      <c r="B288" s="168" t="s">
        <v>1857</v>
      </c>
      <c r="C288" s="168">
        <v>5.2900000000000003E-2</v>
      </c>
      <c r="D288" s="168"/>
      <c r="E288" s="168"/>
      <c r="F288" s="168"/>
      <c r="G288" s="168"/>
    </row>
    <row r="289" spans="1:7">
      <c r="A289" s="168" t="s">
        <v>1446</v>
      </c>
      <c r="B289" s="168" t="s">
        <v>1858</v>
      </c>
      <c r="C289" s="168">
        <v>2.1320000000000001</v>
      </c>
      <c r="D289" s="609"/>
      <c r="E289" s="609"/>
      <c r="F289" s="609"/>
      <c r="G289" s="609"/>
    </row>
    <row r="290" spans="1:7">
      <c r="A290" s="168"/>
      <c r="B290" s="168"/>
      <c r="C290" s="168"/>
      <c r="D290" s="168"/>
      <c r="E290" s="168"/>
      <c r="F290" s="168"/>
      <c r="G290" s="168"/>
    </row>
    <row r="291" spans="1:7">
      <c r="A291" s="168" t="s">
        <v>1457</v>
      </c>
      <c r="B291" s="168" t="s">
        <v>1859</v>
      </c>
      <c r="C291" s="168">
        <v>54.354999999999997</v>
      </c>
      <c r="D291" s="168"/>
      <c r="E291" s="168"/>
      <c r="F291" s="168"/>
      <c r="G291" s="168"/>
    </row>
    <row r="292" spans="1:7">
      <c r="A292" s="168" t="s">
        <v>1459</v>
      </c>
      <c r="B292" s="168" t="s">
        <v>1860</v>
      </c>
      <c r="C292" s="168">
        <v>1E-4</v>
      </c>
      <c r="D292" s="168"/>
      <c r="E292" s="168"/>
      <c r="F292" s="168"/>
      <c r="G292" s="168"/>
    </row>
    <row r="293" spans="1:7">
      <c r="A293" s="609"/>
      <c r="B293" s="609"/>
      <c r="C293" s="609"/>
      <c r="D293" s="168"/>
      <c r="E293" s="168"/>
      <c r="F293" s="168"/>
      <c r="G293" s="168"/>
    </row>
    <row r="294" spans="1:7">
      <c r="A294" s="168"/>
      <c r="B294" s="168"/>
      <c r="C294" s="168"/>
      <c r="D294" s="168"/>
      <c r="E294" s="168"/>
      <c r="F294" s="168"/>
      <c r="G294" s="168"/>
    </row>
    <row r="295" spans="1:7">
      <c r="A295" s="168" t="s">
        <v>1861</v>
      </c>
      <c r="B295" s="168" t="s">
        <v>1862</v>
      </c>
      <c r="C295" s="168">
        <v>10</v>
      </c>
      <c r="D295" s="609"/>
      <c r="E295" s="609"/>
      <c r="F295" s="609"/>
      <c r="G295" s="609"/>
    </row>
    <row r="296" spans="1:7">
      <c r="A296" s="168" t="s">
        <v>1863</v>
      </c>
      <c r="B296" s="168" t="s">
        <v>1864</v>
      </c>
      <c r="C296" s="168">
        <v>287</v>
      </c>
      <c r="D296" s="609"/>
      <c r="E296" s="609"/>
      <c r="F296" s="609"/>
      <c r="G296" s="609"/>
    </row>
    <row r="297" spans="1:7">
      <c r="A297" s="168" t="s">
        <v>1865</v>
      </c>
      <c r="B297" s="168" t="s">
        <v>1866</v>
      </c>
      <c r="C297" s="168">
        <v>100.02800000000001</v>
      </c>
      <c r="D297" s="609"/>
      <c r="E297" s="609"/>
      <c r="F297" s="609"/>
      <c r="G297" s="609"/>
    </row>
    <row r="298" spans="1:7">
      <c r="A298" s="168" t="s">
        <v>1867</v>
      </c>
      <c r="B298" s="168" t="s">
        <v>1868</v>
      </c>
      <c r="C298" s="168">
        <v>2.9999999999999997E-4</v>
      </c>
      <c r="D298" s="609"/>
      <c r="E298" s="609"/>
      <c r="F298" s="609"/>
      <c r="G298" s="609"/>
    </row>
    <row r="302" spans="1:7">
      <c r="A302" s="278"/>
      <c r="B302" s="278"/>
      <c r="C302" s="278"/>
      <c r="D302" s="278"/>
      <c r="E302" s="278"/>
      <c r="F302" s="278"/>
      <c r="G302" s="609"/>
    </row>
    <row r="304" spans="1:7">
      <c r="A304" s="168"/>
      <c r="B304" s="168"/>
      <c r="C304" s="168"/>
      <c r="D304" s="168"/>
      <c r="E304" s="168"/>
      <c r="F304" s="168"/>
      <c r="G304" s="609"/>
    </row>
    <row r="305" spans="1:6">
      <c r="A305" s="168"/>
      <c r="B305" s="168"/>
      <c r="C305" s="168"/>
      <c r="D305" s="168"/>
      <c r="E305" s="168"/>
      <c r="F305" s="168"/>
    </row>
    <row r="306" spans="1:6" ht="15.6">
      <c r="A306" s="158" t="s">
        <v>1869</v>
      </c>
      <c r="B306" s="168"/>
      <c r="C306" s="168"/>
      <c r="D306" s="168"/>
      <c r="E306" s="168"/>
      <c r="F306" s="168"/>
    </row>
    <row r="307" spans="1:6">
      <c r="A307" s="355" t="s">
        <v>1673</v>
      </c>
      <c r="B307" s="168"/>
      <c r="C307" s="168"/>
      <c r="D307" s="168"/>
      <c r="E307" s="168"/>
      <c r="F307" s="168"/>
    </row>
    <row r="308" spans="1:6">
      <c r="A308" s="355" t="s">
        <v>1870</v>
      </c>
      <c r="B308" s="168"/>
      <c r="C308" s="168"/>
      <c r="D308" s="168"/>
      <c r="E308" s="168"/>
      <c r="F308" s="168"/>
    </row>
    <row r="309" spans="1:6">
      <c r="A309" s="168" t="s">
        <v>1871</v>
      </c>
      <c r="B309" s="168" t="s">
        <v>1872</v>
      </c>
      <c r="C309" s="168">
        <v>0.11600000000000001</v>
      </c>
      <c r="D309" s="168"/>
      <c r="E309" s="168"/>
      <c r="F309" s="168"/>
    </row>
    <row r="310" spans="1:6">
      <c r="A310" s="168" t="s">
        <v>1873</v>
      </c>
      <c r="B310" s="168" t="s">
        <v>1874</v>
      </c>
      <c r="C310" s="168">
        <v>31.03</v>
      </c>
      <c r="D310" s="168"/>
      <c r="E310" s="168"/>
      <c r="F310" s="168"/>
    </row>
    <row r="311" spans="1:6">
      <c r="A311" s="168" t="s">
        <v>1875</v>
      </c>
      <c r="B311" s="168" t="s">
        <v>1876</v>
      </c>
      <c r="C311" s="168">
        <v>23.45</v>
      </c>
      <c r="D311" s="168"/>
      <c r="E311" s="168"/>
      <c r="F311" s="168"/>
    </row>
    <row r="312" spans="1:6">
      <c r="A312" s="168" t="s">
        <v>1877</v>
      </c>
      <c r="B312" s="168" t="s">
        <v>1878</v>
      </c>
      <c r="C312" s="168">
        <v>0.10100000000000001</v>
      </c>
      <c r="D312" s="168"/>
      <c r="E312" s="168"/>
      <c r="F312" s="168"/>
    </row>
    <row r="313" spans="1:6">
      <c r="A313" s="168" t="s">
        <v>1879</v>
      </c>
      <c r="B313" s="168" t="s">
        <v>1880</v>
      </c>
      <c r="C313" s="168">
        <v>60</v>
      </c>
      <c r="D313" s="168"/>
      <c r="E313" s="168"/>
      <c r="F313" s="168"/>
    </row>
    <row r="314" spans="1:6">
      <c r="A314" s="168" t="s">
        <v>1881</v>
      </c>
      <c r="B314" s="168" t="s">
        <v>1882</v>
      </c>
      <c r="C314" s="168">
        <v>4.3800000000000002E-4</v>
      </c>
      <c r="D314" s="168"/>
      <c r="E314" s="168"/>
      <c r="F314" s="168"/>
    </row>
    <row r="315" spans="1:6">
      <c r="A315" s="168" t="s">
        <v>1883</v>
      </c>
      <c r="B315" s="168" t="s">
        <v>1884</v>
      </c>
      <c r="C315" s="168">
        <v>357.2</v>
      </c>
      <c r="D315" s="168"/>
      <c r="E315" s="168"/>
      <c r="F315" s="168"/>
    </row>
    <row r="316" spans="1:6">
      <c r="A316" s="168" t="s">
        <v>1885</v>
      </c>
      <c r="B316" s="168" t="s">
        <v>1886</v>
      </c>
      <c r="C316" s="168">
        <v>944</v>
      </c>
      <c r="D316" s="168"/>
      <c r="E316" s="168"/>
      <c r="F316" s="168"/>
    </row>
    <row r="317" spans="1:6">
      <c r="A317" s="168" t="s">
        <v>1887</v>
      </c>
      <c r="B317" s="168" t="s">
        <v>1888</v>
      </c>
      <c r="C317" s="168">
        <v>204</v>
      </c>
      <c r="D317" s="168"/>
      <c r="E317" s="168"/>
      <c r="F317" s="168"/>
    </row>
    <row r="318" spans="1:6">
      <c r="A318" s="168"/>
      <c r="B318" s="168"/>
      <c r="C318" s="168"/>
      <c r="D318" s="168"/>
      <c r="E318" s="168"/>
      <c r="F318" s="168"/>
    </row>
    <row r="319" spans="1:6">
      <c r="A319" s="355" t="s">
        <v>1889</v>
      </c>
      <c r="B319" s="168"/>
      <c r="C319" s="168"/>
      <c r="D319" s="168"/>
      <c r="E319" s="168"/>
      <c r="F319" s="168"/>
    </row>
    <row r="320" spans="1:6">
      <c r="A320" s="168" t="s">
        <v>1635</v>
      </c>
      <c r="B320" s="168" t="s">
        <v>1890</v>
      </c>
      <c r="C320" s="168">
        <v>0.5</v>
      </c>
      <c r="D320" s="168"/>
      <c r="E320" s="168"/>
      <c r="F320" s="168"/>
    </row>
    <row r="321" spans="1:6">
      <c r="A321" s="168" t="s">
        <v>1891</v>
      </c>
      <c r="B321" s="168" t="s">
        <v>1892</v>
      </c>
      <c r="C321" s="168">
        <v>0.105</v>
      </c>
      <c r="D321" s="168"/>
      <c r="E321" s="168"/>
      <c r="F321" s="168"/>
    </row>
    <row r="322" spans="1:6">
      <c r="A322" s="168" t="s">
        <v>1879</v>
      </c>
      <c r="B322" s="168" t="s">
        <v>1893</v>
      </c>
      <c r="C322" s="168">
        <v>60.25</v>
      </c>
      <c r="D322" s="168"/>
      <c r="E322" s="168"/>
      <c r="F322" s="168"/>
    </row>
    <row r="323" spans="1:6">
      <c r="A323" s="168" t="s">
        <v>1881</v>
      </c>
      <c r="B323" s="168" t="s">
        <v>1894</v>
      </c>
      <c r="C323" s="168">
        <v>35.54</v>
      </c>
      <c r="D323" s="168"/>
      <c r="E323" s="168"/>
      <c r="F323" s="168"/>
    </row>
    <row r="324" spans="1:6">
      <c r="A324" s="168" t="s">
        <v>1883</v>
      </c>
      <c r="B324" s="168" t="s">
        <v>1895</v>
      </c>
      <c r="C324" s="168">
        <v>359.56</v>
      </c>
      <c r="D324" s="168"/>
      <c r="E324" s="168"/>
      <c r="F324" s="168"/>
    </row>
    <row r="325" spans="1:6">
      <c r="A325" s="168" t="s">
        <v>1875</v>
      </c>
      <c r="B325" s="168" t="s">
        <v>1896</v>
      </c>
      <c r="C325" s="168">
        <v>64.08</v>
      </c>
      <c r="D325" s="168"/>
      <c r="E325" s="168"/>
      <c r="F325" s="168"/>
    </row>
    <row r="326" spans="1:6">
      <c r="A326" s="168" t="s">
        <v>1897</v>
      </c>
      <c r="B326" s="168" t="s">
        <v>1898</v>
      </c>
      <c r="C326" s="168">
        <v>7.9</v>
      </c>
      <c r="D326" s="168"/>
      <c r="E326" s="168"/>
      <c r="F326" s="168"/>
    </row>
    <row r="327" spans="1:6">
      <c r="A327" s="168" t="s">
        <v>1885</v>
      </c>
      <c r="B327" s="168" t="s">
        <v>1899</v>
      </c>
      <c r="C327" s="168">
        <v>150.52000000000001</v>
      </c>
      <c r="D327" s="168"/>
      <c r="E327" s="168"/>
      <c r="F327" s="168"/>
    </row>
    <row r="328" spans="1:6">
      <c r="A328" s="168" t="s">
        <v>1887</v>
      </c>
      <c r="B328" s="168" t="s">
        <v>1900</v>
      </c>
      <c r="C328" s="168">
        <v>100.35</v>
      </c>
      <c r="D328" s="168"/>
      <c r="E328" s="168"/>
      <c r="F328" s="168"/>
    </row>
    <row r="329" spans="1:6">
      <c r="A329" s="168" t="s">
        <v>1901</v>
      </c>
      <c r="B329" s="168" t="s">
        <v>1902</v>
      </c>
      <c r="C329" s="168">
        <v>420.87</v>
      </c>
      <c r="D329" s="168"/>
      <c r="E329" s="168"/>
      <c r="F329" s="168"/>
    </row>
    <row r="330" spans="1:6">
      <c r="A330" s="168" t="s">
        <v>1903</v>
      </c>
      <c r="B330" s="168" t="s">
        <v>1904</v>
      </c>
      <c r="C330" s="168">
        <v>1868.87</v>
      </c>
      <c r="D330" s="168"/>
      <c r="E330" s="168"/>
      <c r="F330" s="168"/>
    </row>
    <row r="331" spans="1:6">
      <c r="A331" s="168"/>
      <c r="B331" s="168"/>
      <c r="C331" s="168"/>
      <c r="D331" s="168"/>
      <c r="E331" s="168"/>
      <c r="F331" s="168"/>
    </row>
    <row r="332" spans="1:6">
      <c r="A332" s="168" t="s">
        <v>1749</v>
      </c>
      <c r="B332" s="168"/>
      <c r="C332" s="168"/>
      <c r="D332" s="168"/>
      <c r="E332" s="168"/>
      <c r="F332" s="168"/>
    </row>
    <row r="333" spans="1:6">
      <c r="A333" s="355" t="s">
        <v>1870</v>
      </c>
      <c r="B333" s="168"/>
      <c r="C333" s="168"/>
      <c r="D333" s="168"/>
      <c r="E333" s="168"/>
      <c r="F333" s="168"/>
    </row>
    <row r="334" spans="1:6">
      <c r="A334" s="355" t="s">
        <v>1635</v>
      </c>
      <c r="B334" s="168" t="s">
        <v>1905</v>
      </c>
      <c r="C334" s="168">
        <v>0.68600000000000005</v>
      </c>
      <c r="D334" s="168"/>
      <c r="E334" s="168"/>
      <c r="F334" s="168"/>
    </row>
    <row r="335" spans="1:6">
      <c r="A335" s="168" t="s">
        <v>1877</v>
      </c>
      <c r="B335" s="168" t="s">
        <v>1906</v>
      </c>
      <c r="C335" s="168">
        <v>3.1399999999999999E-4</v>
      </c>
      <c r="D335" s="168"/>
      <c r="E335" s="168"/>
      <c r="F335" s="168"/>
    </row>
    <row r="336" spans="1:6">
      <c r="A336" s="168" t="s">
        <v>1907</v>
      </c>
      <c r="B336" s="168" t="s">
        <v>1908</v>
      </c>
      <c r="C336" s="168">
        <v>5.93</v>
      </c>
      <c r="D336" s="168"/>
      <c r="E336" s="168"/>
      <c r="F336" s="168"/>
    </row>
    <row r="337" spans="1:6">
      <c r="A337" s="168" t="s">
        <v>1901</v>
      </c>
      <c r="B337" s="168" t="s">
        <v>1909</v>
      </c>
      <c r="C337" s="168">
        <v>18.899999999999999</v>
      </c>
      <c r="D337" s="168"/>
      <c r="E337" s="168"/>
      <c r="F337" s="168"/>
    </row>
    <row r="338" spans="1:6">
      <c r="A338" s="168" t="s">
        <v>1910</v>
      </c>
      <c r="B338" s="168" t="s">
        <v>1911</v>
      </c>
      <c r="C338" s="168">
        <v>814</v>
      </c>
      <c r="D338" s="168" t="s">
        <v>1912</v>
      </c>
      <c r="E338" s="168"/>
      <c r="F338" s="168"/>
    </row>
    <row r="339" spans="1:6">
      <c r="A339" s="168"/>
      <c r="B339" s="168"/>
      <c r="C339" s="168"/>
      <c r="D339" s="168"/>
      <c r="E339" s="168"/>
      <c r="F339" s="168"/>
    </row>
    <row r="340" spans="1:6">
      <c r="A340" s="355" t="s">
        <v>1889</v>
      </c>
      <c r="B340" s="168"/>
      <c r="C340" s="168"/>
      <c r="D340" s="168"/>
      <c r="E340" s="168"/>
      <c r="F340" s="168"/>
    </row>
    <row r="341" spans="1:6">
      <c r="A341" s="168" t="s">
        <v>1635</v>
      </c>
      <c r="B341" s="168"/>
      <c r="C341" s="168">
        <v>3.1800000000000001E-3</v>
      </c>
      <c r="D341" s="168"/>
      <c r="E341" s="168"/>
      <c r="F341" s="168"/>
    </row>
    <row r="342" spans="1:6">
      <c r="A342" s="168" t="s">
        <v>1881</v>
      </c>
      <c r="B342" s="168" t="s">
        <v>1894</v>
      </c>
      <c r="C342" s="168">
        <v>1.4800000000000001E-5</v>
      </c>
      <c r="D342" s="168"/>
      <c r="E342" s="168"/>
      <c r="F342" s="168"/>
    </row>
    <row r="343" spans="1:6">
      <c r="A343" s="168" t="s">
        <v>1891</v>
      </c>
      <c r="B343" s="168" t="s">
        <v>1892</v>
      </c>
      <c r="C343" s="168">
        <v>1.082E-2</v>
      </c>
      <c r="D343" s="168"/>
      <c r="E343" s="168"/>
      <c r="F343" s="168"/>
    </row>
    <row r="344" spans="1:6">
      <c r="A344" s="168" t="s">
        <v>1877</v>
      </c>
      <c r="B344" s="168" t="s">
        <v>1913</v>
      </c>
      <c r="C344" s="168">
        <v>3.9900000000000001E-5</v>
      </c>
      <c r="D344" s="168"/>
      <c r="E344" s="168"/>
      <c r="F344" s="168"/>
    </row>
    <row r="345" spans="1:6">
      <c r="A345" s="168" t="s">
        <v>1914</v>
      </c>
      <c r="B345" s="168" t="s">
        <v>1915</v>
      </c>
      <c r="C345" s="168">
        <v>1.9000000000000001E-5</v>
      </c>
      <c r="D345" s="168"/>
      <c r="E345" s="168"/>
      <c r="F345" s="168"/>
    </row>
    <row r="346" spans="1:6">
      <c r="A346" s="168" t="s">
        <v>1907</v>
      </c>
      <c r="B346" s="168" t="s">
        <v>1916</v>
      </c>
      <c r="C346" s="168">
        <v>5.42</v>
      </c>
      <c r="D346" s="168"/>
      <c r="E346" s="168"/>
      <c r="F346" s="168"/>
    </row>
    <row r="347" spans="1:6">
      <c r="A347" s="168" t="s">
        <v>1901</v>
      </c>
      <c r="B347" s="168" t="s">
        <v>1902</v>
      </c>
      <c r="C347" s="168">
        <v>6.23</v>
      </c>
      <c r="D347" s="168"/>
      <c r="E347" s="168"/>
      <c r="F347" s="168"/>
    </row>
    <row r="352" spans="1:6">
      <c r="A352" s="355" t="s">
        <v>1917</v>
      </c>
      <c r="B352" s="168"/>
      <c r="C352" s="168"/>
      <c r="D352" s="609"/>
      <c r="E352" s="609"/>
      <c r="F352" s="609"/>
    </row>
    <row r="353" spans="1:3">
      <c r="A353" s="168"/>
      <c r="B353" s="168"/>
      <c r="C353" s="168"/>
    </row>
    <row r="354" spans="1:3">
      <c r="A354" s="355" t="s">
        <v>1918</v>
      </c>
      <c r="B354" s="168"/>
      <c r="C354" s="168"/>
    </row>
    <row r="355" spans="1:3">
      <c r="A355" s="168" t="s">
        <v>1919</v>
      </c>
      <c r="B355" s="168" t="s">
        <v>1920</v>
      </c>
      <c r="C355" s="168">
        <v>45.927999999999997</v>
      </c>
    </row>
    <row r="356" spans="1:3">
      <c r="A356" s="168" t="s">
        <v>1921</v>
      </c>
      <c r="B356" s="168" t="s">
        <v>1922</v>
      </c>
      <c r="C356" s="168">
        <v>22.349</v>
      </c>
    </row>
    <row r="357" spans="1:3">
      <c r="A357" s="168" t="s">
        <v>1923</v>
      </c>
      <c r="B357" s="168" t="s">
        <v>1924</v>
      </c>
      <c r="C357" s="168">
        <v>0.67800000000000005</v>
      </c>
    </row>
    <row r="358" spans="1:3">
      <c r="A358" s="168" t="s">
        <v>1925</v>
      </c>
      <c r="B358" s="168" t="s">
        <v>1926</v>
      </c>
      <c r="C358" s="168">
        <v>1.0999999999999999E-2</v>
      </c>
    </row>
    <row r="359" spans="1:3">
      <c r="A359" s="168" t="s">
        <v>1927</v>
      </c>
      <c r="B359" s="168" t="s">
        <v>1928</v>
      </c>
      <c r="C359" s="168">
        <v>9.8000000000000004E-2</v>
      </c>
    </row>
    <row r="360" spans="1:3">
      <c r="A360" s="168" t="s">
        <v>1929</v>
      </c>
      <c r="B360" s="168" t="s">
        <v>1930</v>
      </c>
      <c r="C360" s="168">
        <v>25.611999999999998</v>
      </c>
    </row>
    <row r="361" spans="1:3">
      <c r="A361" s="168" t="s">
        <v>1931</v>
      </c>
      <c r="B361" s="168" t="s">
        <v>1932</v>
      </c>
      <c r="C361" s="168">
        <v>2.9299999999999999E-3</v>
      </c>
    </row>
    <row r="362" spans="1:3">
      <c r="A362" s="168" t="s">
        <v>1933</v>
      </c>
      <c r="B362" s="168" t="s">
        <v>1934</v>
      </c>
      <c r="C362" s="168">
        <v>2.2800000000000001E-4</v>
      </c>
    </row>
    <row r="363" spans="1:3">
      <c r="A363" s="168"/>
      <c r="B363" s="168"/>
      <c r="C363" s="168"/>
    </row>
    <row r="364" spans="1:3">
      <c r="A364" s="355" t="s">
        <v>1935</v>
      </c>
      <c r="B364" s="168"/>
      <c r="C364" s="168"/>
    </row>
    <row r="365" spans="1:3">
      <c r="A365" s="168" t="s">
        <v>1936</v>
      </c>
      <c r="B365" s="168" t="s">
        <v>1937</v>
      </c>
      <c r="C365" s="168">
        <v>32.536999999999999</v>
      </c>
    </row>
    <row r="366" spans="1:3">
      <c r="A366" s="168" t="s">
        <v>1938</v>
      </c>
      <c r="B366" s="168" t="s">
        <v>1939</v>
      </c>
      <c r="C366" s="168">
        <v>24.853999999999999</v>
      </c>
    </row>
    <row r="367" spans="1:3">
      <c r="A367" s="168" t="s">
        <v>1940</v>
      </c>
      <c r="B367" s="168" t="s">
        <v>1941</v>
      </c>
      <c r="C367" s="168">
        <v>0.32600000000000001</v>
      </c>
    </row>
    <row r="368" spans="1:3">
      <c r="A368" s="168" t="s">
        <v>1942</v>
      </c>
      <c r="B368" s="168" t="s">
        <v>1943</v>
      </c>
      <c r="C368" s="168">
        <v>74.626000000000005</v>
      </c>
    </row>
    <row r="369" spans="1:4">
      <c r="A369" s="168" t="s">
        <v>1944</v>
      </c>
      <c r="B369" s="168" t="s">
        <v>1945</v>
      </c>
      <c r="C369" s="168"/>
      <c r="D369" s="609"/>
    </row>
    <row r="370" spans="1:4">
      <c r="A370" s="168" t="s">
        <v>1946</v>
      </c>
      <c r="B370" s="168" t="s">
        <v>1947</v>
      </c>
      <c r="C370" s="168"/>
      <c r="D370" s="609"/>
    </row>
    <row r="371" spans="1:4">
      <c r="A371" s="168"/>
      <c r="B371" s="168"/>
      <c r="C371" s="168"/>
      <c r="D371" s="609"/>
    </row>
    <row r="372" spans="1:4">
      <c r="A372" s="355" t="s">
        <v>1948</v>
      </c>
      <c r="B372" s="168"/>
      <c r="C372" s="168"/>
      <c r="D372" s="609"/>
    </row>
    <row r="373" spans="1:4">
      <c r="A373" s="168" t="s">
        <v>1949</v>
      </c>
      <c r="B373" s="168" t="s">
        <v>1950</v>
      </c>
      <c r="C373" s="168">
        <v>0.995</v>
      </c>
      <c r="D373" s="609"/>
    </row>
    <row r="374" spans="1:4">
      <c r="A374" s="168" t="s">
        <v>1951</v>
      </c>
      <c r="B374" s="168" t="s">
        <v>1952</v>
      </c>
      <c r="C374" s="168">
        <v>5.0000000000000001E-3</v>
      </c>
      <c r="D374" s="609"/>
    </row>
    <row r="375" spans="1:4">
      <c r="A375" s="168"/>
      <c r="B375" s="168"/>
      <c r="C375" s="168"/>
      <c r="D375" s="609"/>
    </row>
    <row r="376" spans="1:4">
      <c r="A376" s="168"/>
      <c r="B376" s="168"/>
      <c r="C376" s="168"/>
      <c r="D376" s="609"/>
    </row>
    <row r="377" spans="1:4" ht="15.6">
      <c r="A377" s="158" t="s">
        <v>1953</v>
      </c>
      <c r="B377" s="168"/>
      <c r="C377" s="168"/>
      <c r="D377" s="609"/>
    </row>
    <row r="378" spans="1:4">
      <c r="A378" s="788" t="s">
        <v>1954</v>
      </c>
      <c r="B378" s="788"/>
      <c r="C378" s="789"/>
      <c r="D378" s="789"/>
    </row>
    <row r="379" spans="1:4">
      <c r="A379" s="790" t="s">
        <v>327</v>
      </c>
      <c r="B379" s="791" t="s">
        <v>1955</v>
      </c>
      <c r="C379" s="864" t="s">
        <v>1956</v>
      </c>
      <c r="D379" s="865"/>
    </row>
    <row r="380" spans="1:4">
      <c r="A380" s="799" t="s">
        <v>327</v>
      </c>
      <c r="B380" s="800" t="s">
        <v>1957</v>
      </c>
      <c r="C380" s="801" t="s">
        <v>1958</v>
      </c>
      <c r="D380" s="802" t="s">
        <v>1959</v>
      </c>
    </row>
    <row r="381" spans="1:4">
      <c r="A381" s="795" t="s">
        <v>1101</v>
      </c>
      <c r="B381" s="792">
        <v>1</v>
      </c>
      <c r="C381" s="793">
        <v>1.0900000000000001</v>
      </c>
      <c r="D381" s="797">
        <v>1</v>
      </c>
    </row>
    <row r="382" spans="1:4">
      <c r="A382" s="796" t="s">
        <v>1102</v>
      </c>
      <c r="B382" s="792">
        <v>1</v>
      </c>
      <c r="C382" s="794">
        <v>1.0149999999999999</v>
      </c>
      <c r="D382" s="798">
        <v>1</v>
      </c>
    </row>
    <row r="383" spans="1:4">
      <c r="A383" s="796" t="s">
        <v>1103</v>
      </c>
      <c r="B383" s="792">
        <v>0.77210000000000001</v>
      </c>
      <c r="C383" s="794">
        <v>1.446</v>
      </c>
      <c r="D383" s="798">
        <v>1</v>
      </c>
    </row>
    <row r="384" spans="1:4">
      <c r="A384" s="796" t="s">
        <v>1104</v>
      </c>
      <c r="B384" s="792">
        <v>1.1138999999999999</v>
      </c>
      <c r="C384" s="794">
        <v>0.77800000000000002</v>
      </c>
      <c r="D384" s="798">
        <v>1</v>
      </c>
    </row>
    <row r="385" spans="1:4">
      <c r="A385" s="796" t="s">
        <v>1105</v>
      </c>
      <c r="B385" s="792">
        <v>0.43730000000000002</v>
      </c>
      <c r="C385" s="794">
        <v>1.226</v>
      </c>
      <c r="D385" s="798">
        <v>1</v>
      </c>
    </row>
    <row r="386" spans="1:4">
      <c r="A386" s="796" t="s">
        <v>1106</v>
      </c>
      <c r="B386" s="792">
        <v>0.22850000000000001</v>
      </c>
      <c r="C386" s="794">
        <v>1.5029999999999999</v>
      </c>
      <c r="D386" s="798">
        <v>1</v>
      </c>
    </row>
    <row r="387" spans="1:4">
      <c r="A387" s="796" t="s">
        <v>1107</v>
      </c>
      <c r="B387" s="792">
        <v>1.1269</v>
      </c>
      <c r="C387" s="794">
        <v>1.0429999999999999</v>
      </c>
      <c r="D387" s="798">
        <v>1</v>
      </c>
    </row>
    <row r="388" spans="1:4">
      <c r="A388" s="796" t="s">
        <v>1108</v>
      </c>
      <c r="B388" s="792">
        <v>0.70830000000000004</v>
      </c>
      <c r="C388" s="794">
        <v>0.875</v>
      </c>
      <c r="D388" s="798">
        <v>1</v>
      </c>
    </row>
  </sheetData>
  <sheetProtection selectLockedCells="1"/>
  <mergeCells count="5">
    <mergeCell ref="B205:C205"/>
    <mergeCell ref="D205:E205"/>
    <mergeCell ref="F205:G205"/>
    <mergeCell ref="A204:G204"/>
    <mergeCell ref="C379:D379"/>
  </mergeCells>
  <phoneticPr fontId="45" type="noConversion"/>
  <pageMargins left="0.7" right="0.7" top="0.75" bottom="0.75" header="0.3" footer="0.3"/>
  <pageSetup paperSize="9" orientation="portrait" horizontalDpi="4294967293" verticalDpi="0" r:id="rId1"/>
  <tableParts count="10">
    <tablePart r:id="rId2"/>
    <tablePart r:id="rId3"/>
    <tablePart r:id="rId4"/>
    <tablePart r:id="rId5"/>
    <tablePart r:id="rId6"/>
    <tablePart r:id="rId7"/>
    <tablePart r:id="rId8"/>
    <tablePart r:id="rId9"/>
    <tablePart r:id="rId10"/>
    <tablePart r:id="rId1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3DE2E-CB1C-4CAC-9B49-3A590468440F}">
  <sheetPr codeName="Sheet17">
    <tabColor rgb="FFFFC000"/>
  </sheetPr>
  <dimension ref="A1:B104"/>
  <sheetViews>
    <sheetView topLeftCell="A19" workbookViewId="0">
      <selection activeCell="F57" sqref="F57"/>
    </sheetView>
  </sheetViews>
  <sheetFormatPr defaultColWidth="9" defaultRowHeight="13.9"/>
  <cols>
    <col min="1" max="1" width="37" style="278" customWidth="1"/>
    <col min="2" max="2" width="12.28515625" style="278" customWidth="1"/>
    <col min="3" max="3" width="13.7109375" style="278" customWidth="1"/>
    <col min="4" max="16384" width="9" style="278"/>
  </cols>
  <sheetData>
    <row r="1" spans="1:1" ht="15.6">
      <c r="A1" s="280" t="s">
        <v>1960</v>
      </c>
    </row>
    <row r="3" spans="1:1">
      <c r="A3" s="277" t="s">
        <v>1961</v>
      </c>
    </row>
    <row r="4" spans="1:1">
      <c r="A4" s="278" t="s">
        <v>21</v>
      </c>
    </row>
    <row r="5" spans="1:1">
      <c r="A5" s="278" t="s">
        <v>1962</v>
      </c>
    </row>
    <row r="6" spans="1:1">
      <c r="A6" s="278" t="s">
        <v>1963</v>
      </c>
    </row>
    <row r="7" spans="1:1">
      <c r="A7" s="278" t="s">
        <v>652</v>
      </c>
    </row>
    <row r="10" spans="1:1" ht="15.6">
      <c r="A10" s="280" t="s">
        <v>1964</v>
      </c>
    </row>
    <row r="12" spans="1:1">
      <c r="A12" s="277" t="s">
        <v>1965</v>
      </c>
    </row>
    <row r="13" spans="1:1">
      <c r="A13" s="278" t="s">
        <v>21</v>
      </c>
    </row>
    <row r="14" spans="1:1">
      <c r="A14" s="278" t="s">
        <v>653</v>
      </c>
    </row>
    <row r="15" spans="1:1">
      <c r="A15" s="278" t="s">
        <v>654</v>
      </c>
    </row>
    <row r="17" spans="1:2" ht="15.6">
      <c r="A17" s="280" t="s">
        <v>1966</v>
      </c>
    </row>
    <row r="19" spans="1:2">
      <c r="A19" s="279" t="s">
        <v>113</v>
      </c>
    </row>
    <row r="20" spans="1:2">
      <c r="A20" s="278" t="s">
        <v>21</v>
      </c>
    </row>
    <row r="21" spans="1:2">
      <c r="A21" s="278" t="s">
        <v>719</v>
      </c>
    </row>
    <row r="22" spans="1:2">
      <c r="A22" s="278" t="s">
        <v>718</v>
      </c>
    </row>
    <row r="23" spans="1:2">
      <c r="A23" s="278" t="s">
        <v>1967</v>
      </c>
    </row>
    <row r="26" spans="1:2" ht="15.6">
      <c r="A26" s="280" t="s">
        <v>1968</v>
      </c>
    </row>
    <row r="28" spans="1:2">
      <c r="A28" s="279" t="s">
        <v>1284</v>
      </c>
      <c r="B28" s="277" t="s">
        <v>1969</v>
      </c>
    </row>
    <row r="29" spans="1:2">
      <c r="A29" s="278" t="s">
        <v>21</v>
      </c>
      <c r="B29" s="278" t="s">
        <v>654</v>
      </c>
    </row>
    <row r="30" spans="1:2">
      <c r="A30" s="278" t="s">
        <v>1970</v>
      </c>
      <c r="B30" s="278" t="s">
        <v>653</v>
      </c>
    </row>
    <row r="31" spans="1:2">
      <c r="A31" s="278" t="s">
        <v>1971</v>
      </c>
      <c r="B31" s="278" t="s">
        <v>653</v>
      </c>
    </row>
    <row r="32" spans="1:2">
      <c r="A32" s="278" t="s">
        <v>1972</v>
      </c>
      <c r="B32" s="278" t="s">
        <v>653</v>
      </c>
    </row>
    <row r="33" spans="1:2">
      <c r="A33" s="278" t="s">
        <v>1973</v>
      </c>
      <c r="B33" s="278" t="s">
        <v>653</v>
      </c>
    </row>
    <row r="34" spans="1:2">
      <c r="A34" s="278" t="s">
        <v>1974</v>
      </c>
      <c r="B34" s="278" t="s">
        <v>653</v>
      </c>
    </row>
    <row r="35" spans="1:2">
      <c r="A35" s="278" t="s">
        <v>1714</v>
      </c>
      <c r="B35" s="278" t="s">
        <v>653</v>
      </c>
    </row>
    <row r="36" spans="1:2">
      <c r="A36" s="278" t="s">
        <v>1413</v>
      </c>
      <c r="B36" s="278" t="s">
        <v>653</v>
      </c>
    </row>
    <row r="37" spans="1:2">
      <c r="A37" s="278" t="s">
        <v>1716</v>
      </c>
      <c r="B37" s="278" t="s">
        <v>653</v>
      </c>
    </row>
    <row r="38" spans="1:2">
      <c r="A38" s="278" t="s">
        <v>1715</v>
      </c>
      <c r="B38" s="278" t="s">
        <v>654</v>
      </c>
    </row>
    <row r="39" spans="1:2">
      <c r="A39" s="278" t="s">
        <v>1975</v>
      </c>
      <c r="B39" s="278" t="s">
        <v>654</v>
      </c>
    </row>
    <row r="40" spans="1:2">
      <c r="A40" s="278" t="s">
        <v>1414</v>
      </c>
      <c r="B40" s="278" t="s">
        <v>654</v>
      </c>
    </row>
    <row r="41" spans="1:2">
      <c r="A41" s="278" t="s">
        <v>1976</v>
      </c>
      <c r="B41" s="278" t="s">
        <v>654</v>
      </c>
    </row>
    <row r="42" spans="1:2">
      <c r="A42" s="278" t="s">
        <v>1977</v>
      </c>
      <c r="B42" s="278" t="s">
        <v>654</v>
      </c>
    </row>
    <row r="43" spans="1:2">
      <c r="A43" s="278" t="s">
        <v>1978</v>
      </c>
      <c r="B43" s="278" t="s">
        <v>654</v>
      </c>
    </row>
    <row r="45" spans="1:2" ht="15.6">
      <c r="A45" s="280" t="s">
        <v>1979</v>
      </c>
    </row>
    <row r="47" spans="1:2">
      <c r="A47" s="277" t="s">
        <v>1980</v>
      </c>
    </row>
    <row r="48" spans="1:2">
      <c r="A48" s="278" t="s">
        <v>1981</v>
      </c>
    </row>
    <row r="49" spans="1:2">
      <c r="A49" s="278">
        <v>2</v>
      </c>
    </row>
    <row r="50" spans="1:2">
      <c r="A50" s="278">
        <v>2.5</v>
      </c>
    </row>
    <row r="51" spans="1:2">
      <c r="A51" s="278">
        <v>3</v>
      </c>
    </row>
    <row r="52" spans="1:2">
      <c r="A52" s="278">
        <v>3.5</v>
      </c>
    </row>
    <row r="53" spans="1:2">
      <c r="A53" s="278">
        <v>4</v>
      </c>
    </row>
    <row r="54" spans="1:2">
      <c r="A54" s="278">
        <v>4.5</v>
      </c>
    </row>
    <row r="55" spans="1:2">
      <c r="A55" s="278">
        <v>5</v>
      </c>
    </row>
    <row r="59" spans="1:2" ht="15.6">
      <c r="A59" s="280" t="s">
        <v>1982</v>
      </c>
    </row>
    <row r="61" spans="1:2">
      <c r="A61" s="279" t="s">
        <v>113</v>
      </c>
      <c r="B61" s="277"/>
    </row>
    <row r="62" spans="1:2">
      <c r="A62" s="278" t="s">
        <v>21</v>
      </c>
    </row>
    <row r="63" spans="1:2">
      <c r="A63" s="278" t="s">
        <v>455</v>
      </c>
    </row>
    <row r="64" spans="1:2">
      <c r="A64" s="278" t="s">
        <v>454</v>
      </c>
    </row>
    <row r="65" spans="1:1">
      <c r="A65" s="278" t="s">
        <v>1983</v>
      </c>
    </row>
    <row r="68" spans="1:1" ht="15.6">
      <c r="A68" s="280" t="s">
        <v>1984</v>
      </c>
    </row>
    <row r="70" spans="1:1">
      <c r="A70" s="277" t="s">
        <v>1985</v>
      </c>
    </row>
    <row r="71" spans="1:1">
      <c r="A71" s="278" t="s">
        <v>21</v>
      </c>
    </row>
    <row r="72" spans="1:1">
      <c r="A72" s="278" t="s">
        <v>820</v>
      </c>
    </row>
    <row r="73" spans="1:1">
      <c r="A73" s="278" t="s">
        <v>1073</v>
      </c>
    </row>
    <row r="76" spans="1:1" ht="15.6">
      <c r="A76" s="280" t="s">
        <v>1986</v>
      </c>
    </row>
    <row r="78" spans="1:1">
      <c r="A78" s="277" t="s">
        <v>1987</v>
      </c>
    </row>
    <row r="79" spans="1:1">
      <c r="A79" s="278" t="s">
        <v>21</v>
      </c>
    </row>
    <row r="80" spans="1:1">
      <c r="A80" s="278" t="s">
        <v>1988</v>
      </c>
    </row>
    <row r="81" spans="1:1">
      <c r="A81" s="278" t="s">
        <v>1511</v>
      </c>
    </row>
    <row r="82" spans="1:1">
      <c r="A82" s="278" t="s">
        <v>1510</v>
      </c>
    </row>
    <row r="84" spans="1:1">
      <c r="A84" s="277" t="s">
        <v>1989</v>
      </c>
    </row>
    <row r="85" spans="1:1">
      <c r="A85" s="278" t="s">
        <v>21</v>
      </c>
    </row>
    <row r="86" spans="1:1">
      <c r="A86" s="278" t="s">
        <v>653</v>
      </c>
    </row>
    <row r="87" spans="1:1">
      <c r="A87" s="278" t="s">
        <v>654</v>
      </c>
    </row>
    <row r="91" spans="1:1" ht="15.6">
      <c r="A91" s="280" t="s">
        <v>1990</v>
      </c>
    </row>
    <row r="93" spans="1:1">
      <c r="A93" s="277" t="s">
        <v>1991</v>
      </c>
    </row>
    <row r="94" spans="1:1">
      <c r="A94" s="278" t="s">
        <v>21</v>
      </c>
    </row>
    <row r="95" spans="1:1">
      <c r="A95" s="278" t="s">
        <v>1577</v>
      </c>
    </row>
    <row r="96" spans="1:1">
      <c r="A96" s="278" t="s">
        <v>1578</v>
      </c>
    </row>
    <row r="97" spans="1:1">
      <c r="A97" s="278" t="s">
        <v>1992</v>
      </c>
    </row>
    <row r="99" spans="1:1" ht="15.6">
      <c r="A99" s="280" t="s">
        <v>1993</v>
      </c>
    </row>
    <row r="101" spans="1:1">
      <c r="A101" s="277" t="s">
        <v>1994</v>
      </c>
    </row>
    <row r="102" spans="1:1">
      <c r="A102" s="278" t="s">
        <v>21</v>
      </c>
    </row>
    <row r="103" spans="1:1">
      <c r="A103" s="278" t="s">
        <v>653</v>
      </c>
    </row>
    <row r="104" spans="1:1">
      <c r="A104" s="278" t="s">
        <v>654</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A22C6-D332-42EC-B4D6-363D7A079A67}">
  <sheetPr codeName="Sheet6">
    <tabColor theme="5"/>
  </sheetPr>
  <dimension ref="A1:K604"/>
  <sheetViews>
    <sheetView workbookViewId="0">
      <selection activeCell="C103" sqref="C103"/>
    </sheetView>
  </sheetViews>
  <sheetFormatPr defaultColWidth="9" defaultRowHeight="13.9"/>
  <cols>
    <col min="1" max="2" width="20.85546875" style="385" customWidth="1"/>
    <col min="3" max="3" width="17.5703125" style="385" customWidth="1"/>
    <col min="4" max="4" width="9" style="385"/>
    <col min="5" max="6" width="9" style="386"/>
    <col min="7" max="7" width="14" style="386" bestFit="1" customWidth="1"/>
    <col min="8" max="10" width="9" style="385"/>
    <col min="11" max="11" width="14.28515625" style="385" bestFit="1" customWidth="1"/>
    <col min="12" max="16384" width="9" style="385"/>
  </cols>
  <sheetData>
    <row r="1" spans="1:11">
      <c r="A1" s="384" t="s">
        <v>1995</v>
      </c>
      <c r="B1" s="384" t="s">
        <v>1996</v>
      </c>
    </row>
    <row r="2" spans="1:11">
      <c r="A2" s="387" t="s">
        <v>1997</v>
      </c>
      <c r="B2" s="388" t="s">
        <v>1998</v>
      </c>
      <c r="C2" s="389" t="s">
        <v>1692</v>
      </c>
      <c r="E2" s="638" t="s">
        <v>1999</v>
      </c>
      <c r="F2" s="680"/>
      <c r="G2" s="639"/>
      <c r="I2" s="638" t="s">
        <v>2000</v>
      </c>
      <c r="J2" s="680"/>
      <c r="K2" s="640"/>
    </row>
    <row r="3" spans="1:11">
      <c r="A3" s="641">
        <v>0</v>
      </c>
      <c r="B3" s="390">
        <v>26.5</v>
      </c>
      <c r="C3" s="642">
        <v>6</v>
      </c>
      <c r="E3" s="391" t="s">
        <v>2001</v>
      </c>
      <c r="F3" s="391" t="s">
        <v>2002</v>
      </c>
      <c r="G3" s="391" t="s">
        <v>2003</v>
      </c>
      <c r="I3" s="391" t="s">
        <v>2002</v>
      </c>
      <c r="J3" s="391" t="s">
        <v>2001</v>
      </c>
      <c r="K3" s="391" t="s">
        <v>2004</v>
      </c>
    </row>
    <row r="4" spans="1:11">
      <c r="A4" s="641">
        <v>26.5</v>
      </c>
      <c r="B4" s="390">
        <v>39.75</v>
      </c>
      <c r="C4" s="642">
        <v>5.5</v>
      </c>
      <c r="E4" s="392">
        <v>26.5</v>
      </c>
      <c r="F4" s="392">
        <v>6</v>
      </c>
      <c r="G4" s="392">
        <f>E4*(-6/159)+7</f>
        <v>6</v>
      </c>
      <c r="I4" s="392">
        <v>0</v>
      </c>
      <c r="J4" s="392">
        <v>185.5</v>
      </c>
      <c r="K4" s="392">
        <f>(I4-7)/(-6/159)</f>
        <v>185.5</v>
      </c>
    </row>
    <row r="5" spans="1:11">
      <c r="A5" s="641">
        <v>39.75</v>
      </c>
      <c r="B5" s="390">
        <v>53</v>
      </c>
      <c r="C5" s="642">
        <v>5</v>
      </c>
      <c r="E5" s="392">
        <v>26.764999999999986</v>
      </c>
      <c r="F5" s="392">
        <v>5.99</v>
      </c>
      <c r="G5" s="392">
        <f t="shared" ref="G5:G68" si="0">E5*(-6/159)+7</f>
        <v>5.99</v>
      </c>
      <c r="I5" s="392">
        <v>0.01</v>
      </c>
      <c r="J5" s="392">
        <v>185.23500000000001</v>
      </c>
      <c r="K5" s="392">
        <f t="shared" ref="K5:K68" si="1">(I5-7)/(-6/159)</f>
        <v>185.23500000000001</v>
      </c>
    </row>
    <row r="6" spans="1:11">
      <c r="A6" s="641">
        <v>53</v>
      </c>
      <c r="B6" s="390">
        <v>66.25</v>
      </c>
      <c r="C6" s="642">
        <v>4.5</v>
      </c>
      <c r="E6" s="392">
        <v>27.03</v>
      </c>
      <c r="F6" s="392">
        <v>5.98</v>
      </c>
      <c r="G6" s="392">
        <f t="shared" si="0"/>
        <v>5.98</v>
      </c>
      <c r="I6" s="392">
        <v>0.02</v>
      </c>
      <c r="J6" s="392">
        <v>184.97</v>
      </c>
      <c r="K6" s="392">
        <f t="shared" si="1"/>
        <v>184.97000000000003</v>
      </c>
    </row>
    <row r="7" spans="1:11">
      <c r="A7" s="641">
        <v>66.25</v>
      </c>
      <c r="B7" s="390">
        <v>79.5</v>
      </c>
      <c r="C7" s="642">
        <v>4</v>
      </c>
      <c r="E7" s="392">
        <v>27.295000000000016</v>
      </c>
      <c r="F7" s="392">
        <v>5.97</v>
      </c>
      <c r="G7" s="392">
        <f t="shared" si="0"/>
        <v>5.97</v>
      </c>
      <c r="I7" s="392">
        <v>0.03</v>
      </c>
      <c r="J7" s="392">
        <v>184.70500000000001</v>
      </c>
      <c r="K7" s="392">
        <f t="shared" si="1"/>
        <v>184.70500000000001</v>
      </c>
    </row>
    <row r="8" spans="1:11">
      <c r="A8" s="641">
        <v>79.5</v>
      </c>
      <c r="B8" s="390">
        <v>92.75</v>
      </c>
      <c r="C8" s="642">
        <v>3.5</v>
      </c>
      <c r="E8" s="392">
        <v>27.560000000000002</v>
      </c>
      <c r="F8" s="392">
        <v>5.96</v>
      </c>
      <c r="G8" s="392">
        <f t="shared" si="0"/>
        <v>5.96</v>
      </c>
      <c r="I8" s="392">
        <v>0.04</v>
      </c>
      <c r="J8" s="392">
        <v>184.44</v>
      </c>
      <c r="K8" s="392">
        <f t="shared" si="1"/>
        <v>184.44</v>
      </c>
    </row>
    <row r="9" spans="1:11">
      <c r="A9" s="641">
        <v>92.75</v>
      </c>
      <c r="B9" s="390">
        <v>106</v>
      </c>
      <c r="C9" s="642">
        <v>3</v>
      </c>
      <c r="E9" s="392">
        <v>27.824999999999989</v>
      </c>
      <c r="F9" s="392">
        <v>5.95</v>
      </c>
      <c r="G9" s="392">
        <f t="shared" si="0"/>
        <v>5.95</v>
      </c>
      <c r="I9" s="392">
        <v>0.05</v>
      </c>
      <c r="J9" s="392">
        <v>184.17500000000001</v>
      </c>
      <c r="K9" s="392">
        <f t="shared" si="1"/>
        <v>184.17500000000001</v>
      </c>
    </row>
    <row r="10" spans="1:11">
      <c r="A10" s="641">
        <v>106</v>
      </c>
      <c r="B10" s="390">
        <v>119.25</v>
      </c>
      <c r="C10" s="642">
        <v>2.5</v>
      </c>
      <c r="E10" s="392">
        <v>28.090000000000003</v>
      </c>
      <c r="F10" s="392">
        <v>5.94</v>
      </c>
      <c r="G10" s="392">
        <f t="shared" si="0"/>
        <v>5.9399999999999995</v>
      </c>
      <c r="I10" s="392">
        <v>0.06</v>
      </c>
      <c r="J10" s="392">
        <v>183.91</v>
      </c>
      <c r="K10" s="392">
        <f t="shared" si="1"/>
        <v>183.91000000000003</v>
      </c>
    </row>
    <row r="11" spans="1:11">
      <c r="A11" s="641">
        <v>119.25</v>
      </c>
      <c r="B11" s="390">
        <v>132.5</v>
      </c>
      <c r="C11" s="642">
        <v>2</v>
      </c>
      <c r="E11" s="392">
        <v>28.355000000000018</v>
      </c>
      <c r="F11" s="392">
        <v>5.93</v>
      </c>
      <c r="G11" s="392">
        <f t="shared" si="0"/>
        <v>5.93</v>
      </c>
      <c r="I11" s="392">
        <v>7.0000000000000007E-2</v>
      </c>
      <c r="J11" s="392">
        <v>183.64500000000001</v>
      </c>
      <c r="K11" s="392">
        <f t="shared" si="1"/>
        <v>183.64500000000001</v>
      </c>
    </row>
    <row r="12" spans="1:11">
      <c r="A12" s="641">
        <v>132.5</v>
      </c>
      <c r="B12" s="390">
        <v>145.75</v>
      </c>
      <c r="C12" s="642">
        <v>1.5</v>
      </c>
      <c r="E12" s="392">
        <v>28.620000000000005</v>
      </c>
      <c r="F12" s="392">
        <v>5.92</v>
      </c>
      <c r="G12" s="392">
        <f t="shared" si="0"/>
        <v>5.92</v>
      </c>
      <c r="I12" s="392">
        <v>0.08</v>
      </c>
      <c r="J12" s="392">
        <v>183.38</v>
      </c>
      <c r="K12" s="392">
        <f t="shared" si="1"/>
        <v>183.38</v>
      </c>
    </row>
    <row r="13" spans="1:11">
      <c r="A13" s="641">
        <v>145.75</v>
      </c>
      <c r="B13" s="390">
        <v>159</v>
      </c>
      <c r="C13" s="642">
        <v>1</v>
      </c>
      <c r="E13" s="392">
        <v>28.884999999999991</v>
      </c>
      <c r="F13" s="392">
        <v>5.91</v>
      </c>
      <c r="G13" s="392">
        <f t="shared" si="0"/>
        <v>5.91</v>
      </c>
      <c r="I13" s="392">
        <v>0.09</v>
      </c>
      <c r="J13" s="392">
        <v>183.11500000000001</v>
      </c>
      <c r="K13" s="392">
        <f t="shared" si="1"/>
        <v>183.11500000000001</v>
      </c>
    </row>
    <row r="14" spans="1:11">
      <c r="A14" s="681">
        <v>159</v>
      </c>
      <c r="B14" s="682"/>
      <c r="C14" s="683">
        <v>0</v>
      </c>
      <c r="E14" s="392">
        <v>29.149999999999977</v>
      </c>
      <c r="F14" s="392">
        <v>5.9</v>
      </c>
      <c r="G14" s="392">
        <f t="shared" si="0"/>
        <v>5.9</v>
      </c>
      <c r="I14" s="392">
        <v>0.1</v>
      </c>
      <c r="J14" s="392">
        <v>182.85</v>
      </c>
      <c r="K14" s="392">
        <f t="shared" si="1"/>
        <v>182.85000000000002</v>
      </c>
    </row>
    <row r="15" spans="1:11">
      <c r="E15" s="392">
        <v>29.41500000000002</v>
      </c>
      <c r="F15" s="392">
        <v>5.89</v>
      </c>
      <c r="G15" s="392">
        <f t="shared" si="0"/>
        <v>5.8899999999999988</v>
      </c>
      <c r="I15" s="392">
        <v>0.11</v>
      </c>
      <c r="J15" s="392">
        <v>182.58500000000001</v>
      </c>
      <c r="K15" s="392">
        <f t="shared" si="1"/>
        <v>182.58500000000001</v>
      </c>
    </row>
    <row r="16" spans="1:11">
      <c r="B16" s="386" t="s">
        <v>2005</v>
      </c>
      <c r="C16" s="386" t="s">
        <v>1635</v>
      </c>
      <c r="E16" s="392">
        <v>29.680000000000007</v>
      </c>
      <c r="F16" s="392">
        <v>5.88</v>
      </c>
      <c r="G16" s="392">
        <f t="shared" si="0"/>
        <v>5.88</v>
      </c>
      <c r="I16" s="392">
        <v>0.12</v>
      </c>
      <c r="J16" s="392">
        <v>182.32</v>
      </c>
      <c r="K16" s="392">
        <f t="shared" si="1"/>
        <v>182.32</v>
      </c>
    </row>
    <row r="17" spans="1:11">
      <c r="B17" s="393">
        <f>SLOPE(tbl_Benchmark_Factors[Star Rating],tbl_Benchmark_Factors[Upper Limit])</f>
        <v>-3.7735849056603772E-2</v>
      </c>
      <c r="C17" s="386">
        <f>INTERCEPT(tbl_Benchmark_Factors[Star Rating],tbl_Benchmark_Factors[Upper Limit])</f>
        <v>7</v>
      </c>
      <c r="E17" s="392">
        <v>29.944999999999993</v>
      </c>
      <c r="F17" s="392">
        <v>5.87</v>
      </c>
      <c r="G17" s="392">
        <f t="shared" si="0"/>
        <v>5.87</v>
      </c>
      <c r="I17" s="392">
        <v>0.13</v>
      </c>
      <c r="J17" s="392">
        <v>182.05500000000001</v>
      </c>
      <c r="K17" s="392">
        <f t="shared" si="1"/>
        <v>182.05500000000001</v>
      </c>
    </row>
    <row r="18" spans="1:11">
      <c r="E18" s="392">
        <v>30.20999999999998</v>
      </c>
      <c r="F18" s="392">
        <v>5.86</v>
      </c>
      <c r="G18" s="392">
        <f t="shared" si="0"/>
        <v>5.8600000000000012</v>
      </c>
      <c r="I18" s="392">
        <v>0.14000000000000001</v>
      </c>
      <c r="J18" s="392">
        <v>181.79</v>
      </c>
      <c r="K18" s="392">
        <f t="shared" si="1"/>
        <v>181.79000000000002</v>
      </c>
    </row>
    <row r="19" spans="1:11">
      <c r="B19" s="385">
        <f>-6/159</f>
        <v>-3.7735849056603772E-2</v>
      </c>
      <c r="E19" s="392">
        <v>30.475000000000023</v>
      </c>
      <c r="F19" s="392">
        <v>5.85</v>
      </c>
      <c r="G19" s="392">
        <f t="shared" si="0"/>
        <v>5.85</v>
      </c>
      <c r="I19" s="392">
        <v>0.15</v>
      </c>
      <c r="J19" s="392">
        <v>181.52500000000001</v>
      </c>
      <c r="K19" s="392">
        <f t="shared" si="1"/>
        <v>181.52500000000001</v>
      </c>
    </row>
    <row r="20" spans="1:11">
      <c r="E20" s="392">
        <v>30.740000000000009</v>
      </c>
      <c r="F20" s="392">
        <v>5.84</v>
      </c>
      <c r="G20" s="392">
        <f t="shared" si="0"/>
        <v>5.84</v>
      </c>
      <c r="I20" s="392">
        <v>0.16</v>
      </c>
      <c r="J20" s="392">
        <v>181.26</v>
      </c>
      <c r="K20" s="392">
        <f t="shared" si="1"/>
        <v>181.26</v>
      </c>
    </row>
    <row r="21" spans="1:11">
      <c r="A21" s="385" t="s">
        <v>2006</v>
      </c>
      <c r="E21" s="392">
        <v>31.004999999999995</v>
      </c>
      <c r="F21" s="392">
        <v>5.83</v>
      </c>
      <c r="G21" s="392">
        <f t="shared" si="0"/>
        <v>5.83</v>
      </c>
      <c r="I21" s="392">
        <v>0.17</v>
      </c>
      <c r="J21" s="392">
        <v>180.995</v>
      </c>
      <c r="K21" s="392">
        <f t="shared" si="1"/>
        <v>180.995</v>
      </c>
    </row>
    <row r="22" spans="1:11">
      <c r="A22" s="385" t="s">
        <v>2007</v>
      </c>
      <c r="B22" s="385" t="s">
        <v>2008</v>
      </c>
      <c r="E22" s="392">
        <v>31.269999999999982</v>
      </c>
      <c r="F22" s="392">
        <v>5.82</v>
      </c>
      <c r="G22" s="392">
        <f t="shared" si="0"/>
        <v>5.82</v>
      </c>
      <c r="I22" s="392">
        <v>0.18</v>
      </c>
      <c r="J22" s="392">
        <v>180.73</v>
      </c>
      <c r="K22" s="392">
        <f t="shared" si="1"/>
        <v>180.73000000000002</v>
      </c>
    </row>
    <row r="23" spans="1:11">
      <c r="A23" s="394">
        <f>B23*(-6/159)+7</f>
        <v>3.2264150943396226</v>
      </c>
      <c r="B23" s="385">
        <v>100</v>
      </c>
      <c r="E23" s="392">
        <v>31.534999999999997</v>
      </c>
      <c r="F23" s="392">
        <v>5.81</v>
      </c>
      <c r="G23" s="392">
        <f t="shared" si="0"/>
        <v>5.8100000000000005</v>
      </c>
      <c r="I23" s="392">
        <v>0.19</v>
      </c>
      <c r="J23" s="392">
        <v>180.465</v>
      </c>
      <c r="K23" s="392">
        <f t="shared" si="1"/>
        <v>180.465</v>
      </c>
    </row>
    <row r="24" spans="1:11">
      <c r="A24" s="385">
        <v>4.5</v>
      </c>
      <c r="B24" s="394">
        <f>(A24-7)/(-6/159)</f>
        <v>66.25</v>
      </c>
      <c r="E24" s="392">
        <v>31.800000000000011</v>
      </c>
      <c r="F24" s="392">
        <v>5.8</v>
      </c>
      <c r="G24" s="392">
        <f t="shared" si="0"/>
        <v>5.8</v>
      </c>
      <c r="I24" s="392">
        <v>0.2</v>
      </c>
      <c r="J24" s="392">
        <v>180.2</v>
      </c>
      <c r="K24" s="392">
        <f t="shared" si="1"/>
        <v>180.2</v>
      </c>
    </row>
    <row r="25" spans="1:11">
      <c r="E25" s="392">
        <v>32.064999999999998</v>
      </c>
      <c r="F25" s="392">
        <v>5.79</v>
      </c>
      <c r="G25" s="392">
        <f t="shared" si="0"/>
        <v>5.79</v>
      </c>
      <c r="I25" s="392">
        <v>0.21</v>
      </c>
      <c r="J25" s="392">
        <v>179.935</v>
      </c>
      <c r="K25" s="392">
        <f t="shared" si="1"/>
        <v>179.935</v>
      </c>
    </row>
    <row r="26" spans="1:11">
      <c r="E26" s="392">
        <v>32.329999999999984</v>
      </c>
      <c r="F26" s="392">
        <v>5.78</v>
      </c>
      <c r="G26" s="392">
        <f t="shared" si="0"/>
        <v>5.7800000000000011</v>
      </c>
      <c r="I26" s="392">
        <v>0.22</v>
      </c>
      <c r="J26" s="392">
        <v>179.67</v>
      </c>
      <c r="K26" s="392">
        <f t="shared" si="1"/>
        <v>179.67000000000002</v>
      </c>
    </row>
    <row r="27" spans="1:11">
      <c r="E27" s="392">
        <v>32.594999999999999</v>
      </c>
      <c r="F27" s="392">
        <v>5.77</v>
      </c>
      <c r="G27" s="392">
        <f t="shared" si="0"/>
        <v>5.77</v>
      </c>
      <c r="I27" s="392">
        <v>0.23</v>
      </c>
      <c r="J27" s="392">
        <v>179.405</v>
      </c>
      <c r="K27" s="392">
        <f t="shared" si="1"/>
        <v>179.405</v>
      </c>
    </row>
    <row r="28" spans="1:11">
      <c r="E28" s="392">
        <v>32.860000000000014</v>
      </c>
      <c r="F28" s="392">
        <v>5.76</v>
      </c>
      <c r="G28" s="392">
        <f t="shared" si="0"/>
        <v>5.76</v>
      </c>
      <c r="I28" s="392">
        <v>0.24</v>
      </c>
      <c r="J28" s="392">
        <v>179.14</v>
      </c>
      <c r="K28" s="392">
        <f t="shared" si="1"/>
        <v>179.14000000000001</v>
      </c>
    </row>
    <row r="29" spans="1:11">
      <c r="E29" s="392">
        <v>33.125</v>
      </c>
      <c r="F29" s="392">
        <v>5.75</v>
      </c>
      <c r="G29" s="392">
        <f t="shared" si="0"/>
        <v>5.75</v>
      </c>
      <c r="I29" s="392">
        <v>0.25</v>
      </c>
      <c r="J29" s="392">
        <v>178.875</v>
      </c>
      <c r="K29" s="392">
        <f t="shared" si="1"/>
        <v>178.875</v>
      </c>
    </row>
    <row r="30" spans="1:11">
      <c r="E30" s="392">
        <v>33.389999999999986</v>
      </c>
      <c r="F30" s="392">
        <v>5.74</v>
      </c>
      <c r="G30" s="392">
        <f t="shared" si="0"/>
        <v>5.74</v>
      </c>
      <c r="I30" s="392">
        <v>0.26</v>
      </c>
      <c r="J30" s="392">
        <v>178.61</v>
      </c>
      <c r="K30" s="392">
        <f t="shared" si="1"/>
        <v>178.61</v>
      </c>
    </row>
    <row r="31" spans="1:11">
      <c r="E31" s="392">
        <v>33.655000000000001</v>
      </c>
      <c r="F31" s="392">
        <v>5.73</v>
      </c>
      <c r="G31" s="392">
        <f t="shared" si="0"/>
        <v>5.73</v>
      </c>
      <c r="I31" s="392">
        <v>0.27</v>
      </c>
      <c r="J31" s="392">
        <v>178.345</v>
      </c>
      <c r="K31" s="392">
        <f t="shared" si="1"/>
        <v>178.34500000000003</v>
      </c>
    </row>
    <row r="32" spans="1:11">
      <c r="E32" s="392">
        <v>33.920000000000016</v>
      </c>
      <c r="F32" s="392">
        <v>5.72</v>
      </c>
      <c r="G32" s="392">
        <f t="shared" si="0"/>
        <v>5.72</v>
      </c>
      <c r="I32" s="392">
        <v>0.28000000000000003</v>
      </c>
      <c r="J32" s="392">
        <v>178.08</v>
      </c>
      <c r="K32" s="392">
        <f t="shared" si="1"/>
        <v>178.08</v>
      </c>
    </row>
    <row r="33" spans="5:11">
      <c r="E33" s="392">
        <v>34.185000000000002</v>
      </c>
      <c r="F33" s="392">
        <v>5.71</v>
      </c>
      <c r="G33" s="392">
        <f t="shared" si="0"/>
        <v>5.71</v>
      </c>
      <c r="I33" s="392">
        <v>0.28999999999999998</v>
      </c>
      <c r="J33" s="392">
        <v>177.815</v>
      </c>
      <c r="K33" s="392">
        <f t="shared" si="1"/>
        <v>177.815</v>
      </c>
    </row>
    <row r="34" spans="5:11">
      <c r="E34" s="392">
        <v>34.449999999999989</v>
      </c>
      <c r="F34" s="392">
        <v>5.7</v>
      </c>
      <c r="G34" s="392">
        <f t="shared" si="0"/>
        <v>5.7</v>
      </c>
      <c r="I34" s="392">
        <v>0.3</v>
      </c>
      <c r="J34" s="392">
        <v>177.55</v>
      </c>
      <c r="K34" s="392">
        <f t="shared" si="1"/>
        <v>177.55</v>
      </c>
    </row>
    <row r="35" spans="5:11">
      <c r="E35" s="392">
        <v>34.715000000000003</v>
      </c>
      <c r="F35" s="392">
        <v>5.69</v>
      </c>
      <c r="G35" s="392">
        <f t="shared" si="0"/>
        <v>5.6899999999999995</v>
      </c>
      <c r="I35" s="392">
        <v>0.31</v>
      </c>
      <c r="J35" s="392">
        <v>177.285</v>
      </c>
      <c r="K35" s="392">
        <f t="shared" si="1"/>
        <v>177.28500000000003</v>
      </c>
    </row>
    <row r="36" spans="5:11">
      <c r="E36" s="392">
        <v>34.980000000000018</v>
      </c>
      <c r="F36" s="392">
        <v>5.68</v>
      </c>
      <c r="G36" s="392">
        <f t="shared" si="0"/>
        <v>5.68</v>
      </c>
      <c r="I36" s="392">
        <v>0.32</v>
      </c>
      <c r="J36" s="392">
        <v>177.02</v>
      </c>
      <c r="K36" s="392">
        <f t="shared" si="1"/>
        <v>177.02</v>
      </c>
    </row>
    <row r="37" spans="5:11">
      <c r="E37" s="392">
        <v>35.245000000000005</v>
      </c>
      <c r="F37" s="392">
        <v>5.67</v>
      </c>
      <c r="G37" s="392">
        <f t="shared" si="0"/>
        <v>5.67</v>
      </c>
      <c r="I37" s="392">
        <v>0.33</v>
      </c>
      <c r="J37" s="392">
        <v>176.755</v>
      </c>
      <c r="K37" s="392">
        <f t="shared" si="1"/>
        <v>176.755</v>
      </c>
    </row>
    <row r="38" spans="5:11">
      <c r="E38" s="392">
        <v>35.509999999999991</v>
      </c>
      <c r="F38" s="392">
        <v>5.66</v>
      </c>
      <c r="G38" s="392">
        <f t="shared" si="0"/>
        <v>5.66</v>
      </c>
      <c r="I38" s="392">
        <v>0.34</v>
      </c>
      <c r="J38" s="392">
        <v>176.49</v>
      </c>
      <c r="K38" s="392">
        <f t="shared" si="1"/>
        <v>176.49</v>
      </c>
    </row>
    <row r="39" spans="5:11">
      <c r="E39" s="392">
        <v>35.774999999999977</v>
      </c>
      <c r="F39" s="392">
        <v>5.65</v>
      </c>
      <c r="G39" s="392">
        <f t="shared" si="0"/>
        <v>5.65</v>
      </c>
      <c r="I39" s="392">
        <v>0.35</v>
      </c>
      <c r="J39" s="392">
        <v>176.22499999999999</v>
      </c>
      <c r="K39" s="392">
        <f t="shared" si="1"/>
        <v>176.22500000000002</v>
      </c>
    </row>
    <row r="40" spans="5:11">
      <c r="E40" s="392">
        <v>36.04000000000002</v>
      </c>
      <c r="F40" s="392">
        <v>5.64</v>
      </c>
      <c r="G40" s="392">
        <f t="shared" si="0"/>
        <v>5.6399999999999988</v>
      </c>
      <c r="I40" s="392">
        <v>0.36</v>
      </c>
      <c r="J40" s="392">
        <v>175.96</v>
      </c>
      <c r="K40" s="392">
        <f t="shared" si="1"/>
        <v>175.96</v>
      </c>
    </row>
    <row r="41" spans="5:11">
      <c r="E41" s="392">
        <v>36.305000000000007</v>
      </c>
      <c r="F41" s="392">
        <v>5.63</v>
      </c>
      <c r="G41" s="392">
        <f t="shared" si="0"/>
        <v>5.63</v>
      </c>
      <c r="I41" s="392">
        <v>0.37</v>
      </c>
      <c r="J41" s="392">
        <v>175.69499999999999</v>
      </c>
      <c r="K41" s="392">
        <f t="shared" si="1"/>
        <v>175.69499999999999</v>
      </c>
    </row>
    <row r="42" spans="5:11">
      <c r="E42" s="392">
        <v>36.569999999999993</v>
      </c>
      <c r="F42" s="392">
        <v>5.62</v>
      </c>
      <c r="G42" s="392">
        <f t="shared" si="0"/>
        <v>5.62</v>
      </c>
      <c r="I42" s="392">
        <v>0.38</v>
      </c>
      <c r="J42" s="392">
        <v>175.43</v>
      </c>
      <c r="K42" s="392">
        <f t="shared" si="1"/>
        <v>175.43</v>
      </c>
    </row>
    <row r="43" spans="5:11">
      <c r="E43" s="392">
        <v>36.83499999999998</v>
      </c>
      <c r="F43" s="392">
        <v>5.61</v>
      </c>
      <c r="G43" s="392">
        <f t="shared" si="0"/>
        <v>5.6100000000000012</v>
      </c>
      <c r="I43" s="392">
        <v>0.39</v>
      </c>
      <c r="J43" s="392">
        <v>175.16499999999999</v>
      </c>
      <c r="K43" s="392">
        <f t="shared" si="1"/>
        <v>175.16500000000002</v>
      </c>
    </row>
    <row r="44" spans="5:11">
      <c r="E44" s="392">
        <v>37.100000000000023</v>
      </c>
      <c r="F44" s="392">
        <v>5.6</v>
      </c>
      <c r="G44" s="392">
        <f t="shared" si="0"/>
        <v>5.6</v>
      </c>
      <c r="I44" s="392">
        <v>0.4</v>
      </c>
      <c r="J44" s="392">
        <v>174.9</v>
      </c>
      <c r="K44" s="392">
        <f t="shared" si="1"/>
        <v>174.9</v>
      </c>
    </row>
    <row r="45" spans="5:11">
      <c r="E45" s="392">
        <v>37.365000000000009</v>
      </c>
      <c r="F45" s="392">
        <v>5.59</v>
      </c>
      <c r="G45" s="392">
        <f t="shared" si="0"/>
        <v>5.59</v>
      </c>
      <c r="I45" s="392">
        <v>0.41</v>
      </c>
      <c r="J45" s="392">
        <v>174.63499999999999</v>
      </c>
      <c r="K45" s="392">
        <f t="shared" si="1"/>
        <v>174.63499999999999</v>
      </c>
    </row>
    <row r="46" spans="5:11">
      <c r="E46" s="392">
        <v>37.629999999999995</v>
      </c>
      <c r="F46" s="392">
        <v>5.58</v>
      </c>
      <c r="G46" s="392">
        <f t="shared" si="0"/>
        <v>5.58</v>
      </c>
      <c r="I46" s="392">
        <v>0.42</v>
      </c>
      <c r="J46" s="392">
        <v>174.37</v>
      </c>
      <c r="K46" s="392">
        <f t="shared" si="1"/>
        <v>174.37</v>
      </c>
    </row>
    <row r="47" spans="5:11">
      <c r="E47" s="392">
        <v>37.894999999999982</v>
      </c>
      <c r="F47" s="392">
        <v>5.57</v>
      </c>
      <c r="G47" s="392">
        <f t="shared" si="0"/>
        <v>5.57</v>
      </c>
      <c r="I47" s="392">
        <v>0.43</v>
      </c>
      <c r="J47" s="392">
        <v>174.10499999999999</v>
      </c>
      <c r="K47" s="392">
        <f t="shared" si="1"/>
        <v>174.10500000000002</v>
      </c>
    </row>
    <row r="48" spans="5:11">
      <c r="E48" s="392">
        <v>38.159999999999997</v>
      </c>
      <c r="F48" s="392">
        <v>5.56</v>
      </c>
      <c r="G48" s="392">
        <f t="shared" si="0"/>
        <v>5.5600000000000005</v>
      </c>
      <c r="I48" s="392">
        <v>0.44</v>
      </c>
      <c r="J48" s="392">
        <v>173.84</v>
      </c>
      <c r="K48" s="392">
        <f t="shared" si="1"/>
        <v>173.84</v>
      </c>
    </row>
    <row r="49" spans="5:11">
      <c r="E49" s="392">
        <v>38.425000000000011</v>
      </c>
      <c r="F49" s="392">
        <v>5.55</v>
      </c>
      <c r="G49" s="392">
        <f t="shared" si="0"/>
        <v>5.55</v>
      </c>
      <c r="I49" s="392">
        <v>0.45</v>
      </c>
      <c r="J49" s="392">
        <v>173.57499999999999</v>
      </c>
      <c r="K49" s="392">
        <f t="shared" si="1"/>
        <v>173.57499999999999</v>
      </c>
    </row>
    <row r="50" spans="5:11">
      <c r="E50" s="392">
        <v>38.69</v>
      </c>
      <c r="F50" s="392">
        <v>5.54</v>
      </c>
      <c r="G50" s="392">
        <f t="shared" si="0"/>
        <v>5.54</v>
      </c>
      <c r="I50" s="392">
        <v>0.46</v>
      </c>
      <c r="J50" s="392">
        <v>173.31</v>
      </c>
      <c r="K50" s="392">
        <f t="shared" si="1"/>
        <v>173.31</v>
      </c>
    </row>
    <row r="51" spans="5:11">
      <c r="E51" s="392">
        <v>38.954999999999984</v>
      </c>
      <c r="F51" s="392">
        <v>5.53</v>
      </c>
      <c r="G51" s="392">
        <f t="shared" si="0"/>
        <v>5.5300000000000011</v>
      </c>
      <c r="I51" s="392">
        <v>0.47</v>
      </c>
      <c r="J51" s="392">
        <v>173.04499999999999</v>
      </c>
      <c r="K51" s="392">
        <f t="shared" si="1"/>
        <v>173.04500000000002</v>
      </c>
    </row>
    <row r="52" spans="5:11">
      <c r="E52" s="392">
        <v>39.22</v>
      </c>
      <c r="F52" s="392">
        <v>5.52</v>
      </c>
      <c r="G52" s="392">
        <f t="shared" si="0"/>
        <v>5.52</v>
      </c>
      <c r="I52" s="392">
        <v>0.48</v>
      </c>
      <c r="J52" s="392">
        <v>172.78</v>
      </c>
      <c r="K52" s="392">
        <f t="shared" si="1"/>
        <v>172.78</v>
      </c>
    </row>
    <row r="53" spans="5:11">
      <c r="E53" s="392">
        <v>39.485000000000014</v>
      </c>
      <c r="F53" s="392">
        <v>5.51</v>
      </c>
      <c r="G53" s="392">
        <f t="shared" si="0"/>
        <v>5.51</v>
      </c>
      <c r="I53" s="392">
        <v>0.49</v>
      </c>
      <c r="J53" s="392">
        <v>172.51499999999999</v>
      </c>
      <c r="K53" s="392">
        <f t="shared" si="1"/>
        <v>172.51500000000001</v>
      </c>
    </row>
    <row r="54" spans="5:11">
      <c r="E54" s="392">
        <v>39.75</v>
      </c>
      <c r="F54" s="392">
        <v>5.5</v>
      </c>
      <c r="G54" s="392">
        <f t="shared" si="0"/>
        <v>5.5</v>
      </c>
      <c r="I54" s="392">
        <v>0.5</v>
      </c>
      <c r="J54" s="392">
        <v>172.25</v>
      </c>
      <c r="K54" s="392">
        <f t="shared" si="1"/>
        <v>172.25</v>
      </c>
    </row>
    <row r="55" spans="5:11">
      <c r="E55" s="392">
        <v>40.014999999999986</v>
      </c>
      <c r="F55" s="392">
        <v>5.49</v>
      </c>
      <c r="G55" s="392">
        <f t="shared" si="0"/>
        <v>5.49</v>
      </c>
      <c r="I55" s="392">
        <v>0.51</v>
      </c>
      <c r="J55" s="392">
        <v>171.98500000000001</v>
      </c>
      <c r="K55" s="392">
        <f t="shared" si="1"/>
        <v>171.98500000000001</v>
      </c>
    </row>
    <row r="56" spans="5:11">
      <c r="E56" s="392">
        <v>40.28</v>
      </c>
      <c r="F56" s="392">
        <v>5.48</v>
      </c>
      <c r="G56" s="392">
        <f t="shared" si="0"/>
        <v>5.48</v>
      </c>
      <c r="I56" s="392">
        <v>0.52</v>
      </c>
      <c r="J56" s="392">
        <v>171.72</v>
      </c>
      <c r="K56" s="392">
        <f t="shared" si="1"/>
        <v>171.72000000000003</v>
      </c>
    </row>
    <row r="57" spans="5:11">
      <c r="E57" s="392">
        <v>40.545000000000016</v>
      </c>
      <c r="F57" s="392">
        <v>5.47</v>
      </c>
      <c r="G57" s="392">
        <f t="shared" si="0"/>
        <v>5.47</v>
      </c>
      <c r="I57" s="392">
        <v>0.53</v>
      </c>
      <c r="J57" s="392">
        <v>171.45500000000001</v>
      </c>
      <c r="K57" s="392">
        <f t="shared" si="1"/>
        <v>171.45500000000001</v>
      </c>
    </row>
    <row r="58" spans="5:11">
      <c r="E58" s="392">
        <v>40.81</v>
      </c>
      <c r="F58" s="392">
        <v>5.46</v>
      </c>
      <c r="G58" s="392">
        <f t="shared" si="0"/>
        <v>5.46</v>
      </c>
      <c r="I58" s="392">
        <v>0.54</v>
      </c>
      <c r="J58" s="392">
        <v>171.19</v>
      </c>
      <c r="K58" s="392">
        <f t="shared" si="1"/>
        <v>171.19</v>
      </c>
    </row>
    <row r="59" spans="5:11">
      <c r="E59" s="392">
        <v>41.074999999999989</v>
      </c>
      <c r="F59" s="392">
        <v>5.45</v>
      </c>
      <c r="G59" s="392">
        <f t="shared" si="0"/>
        <v>5.45</v>
      </c>
      <c r="I59" s="392">
        <v>0.55000000000000004</v>
      </c>
      <c r="J59" s="392">
        <v>170.92500000000001</v>
      </c>
      <c r="K59" s="392">
        <f t="shared" si="1"/>
        <v>170.92500000000001</v>
      </c>
    </row>
    <row r="60" spans="5:11">
      <c r="E60" s="392">
        <v>41.34</v>
      </c>
      <c r="F60" s="392">
        <v>5.44</v>
      </c>
      <c r="G60" s="392">
        <f t="shared" si="0"/>
        <v>5.4399999999999995</v>
      </c>
      <c r="I60" s="392">
        <v>0.56000000000000005</v>
      </c>
      <c r="J60" s="392">
        <v>170.66</v>
      </c>
      <c r="K60" s="392">
        <f t="shared" si="1"/>
        <v>170.66</v>
      </c>
    </row>
    <row r="61" spans="5:11">
      <c r="E61" s="392">
        <v>41.605000000000018</v>
      </c>
      <c r="F61" s="392">
        <v>5.43</v>
      </c>
      <c r="G61" s="392">
        <f t="shared" si="0"/>
        <v>5.43</v>
      </c>
      <c r="I61" s="392">
        <v>0.56999999999999995</v>
      </c>
      <c r="J61" s="392">
        <v>170.39500000000001</v>
      </c>
      <c r="K61" s="392">
        <f t="shared" si="1"/>
        <v>170.39500000000001</v>
      </c>
    </row>
    <row r="62" spans="5:11">
      <c r="E62" s="392">
        <v>41.870000000000005</v>
      </c>
      <c r="F62" s="392">
        <v>5.42</v>
      </c>
      <c r="G62" s="392">
        <f t="shared" si="0"/>
        <v>5.42</v>
      </c>
      <c r="I62" s="392">
        <v>0.57999999999999996</v>
      </c>
      <c r="J62" s="392">
        <v>170.13</v>
      </c>
      <c r="K62" s="392">
        <f t="shared" si="1"/>
        <v>170.13</v>
      </c>
    </row>
    <row r="63" spans="5:11">
      <c r="E63" s="392">
        <v>42.134999999999991</v>
      </c>
      <c r="F63" s="392">
        <v>5.41</v>
      </c>
      <c r="G63" s="392">
        <f t="shared" si="0"/>
        <v>5.41</v>
      </c>
      <c r="I63" s="392">
        <v>0.59</v>
      </c>
      <c r="J63" s="392">
        <v>169.86500000000001</v>
      </c>
      <c r="K63" s="392">
        <f t="shared" si="1"/>
        <v>169.86500000000001</v>
      </c>
    </row>
    <row r="64" spans="5:11">
      <c r="E64" s="392">
        <v>42.399999999999977</v>
      </c>
      <c r="F64" s="392">
        <v>5.4</v>
      </c>
      <c r="G64" s="392">
        <f t="shared" si="0"/>
        <v>5.4000000000000012</v>
      </c>
      <c r="I64" s="392">
        <v>0.6</v>
      </c>
      <c r="J64" s="392">
        <v>169.6</v>
      </c>
      <c r="K64" s="392">
        <f t="shared" si="1"/>
        <v>169.60000000000002</v>
      </c>
    </row>
    <row r="65" spans="5:11">
      <c r="E65" s="392">
        <v>42.66500000000002</v>
      </c>
      <c r="F65" s="392">
        <v>5.39</v>
      </c>
      <c r="G65" s="392">
        <f t="shared" si="0"/>
        <v>5.3899999999999988</v>
      </c>
      <c r="I65" s="392">
        <v>0.61</v>
      </c>
      <c r="J65" s="392">
        <v>169.33500000000001</v>
      </c>
      <c r="K65" s="392">
        <f t="shared" si="1"/>
        <v>169.33500000000001</v>
      </c>
    </row>
    <row r="66" spans="5:11">
      <c r="E66" s="392">
        <v>42.930000000000007</v>
      </c>
      <c r="F66" s="392">
        <v>5.38</v>
      </c>
      <c r="G66" s="392">
        <f t="shared" si="0"/>
        <v>5.38</v>
      </c>
      <c r="I66" s="392">
        <v>0.62</v>
      </c>
      <c r="J66" s="392">
        <v>169.07</v>
      </c>
      <c r="K66" s="392">
        <f t="shared" si="1"/>
        <v>169.07</v>
      </c>
    </row>
    <row r="67" spans="5:11">
      <c r="E67" s="392">
        <v>43.194999999999993</v>
      </c>
      <c r="F67" s="392">
        <v>5.37</v>
      </c>
      <c r="G67" s="392">
        <f t="shared" si="0"/>
        <v>5.37</v>
      </c>
      <c r="I67" s="392">
        <v>0.63</v>
      </c>
      <c r="J67" s="392">
        <v>168.80500000000001</v>
      </c>
      <c r="K67" s="392">
        <f t="shared" si="1"/>
        <v>168.80500000000001</v>
      </c>
    </row>
    <row r="68" spans="5:11">
      <c r="E68" s="392">
        <v>43.45999999999998</v>
      </c>
      <c r="F68" s="392">
        <v>5.36</v>
      </c>
      <c r="G68" s="392">
        <f t="shared" si="0"/>
        <v>5.3600000000000012</v>
      </c>
      <c r="I68" s="392">
        <v>0.64</v>
      </c>
      <c r="J68" s="392">
        <v>168.54</v>
      </c>
      <c r="K68" s="392">
        <f t="shared" si="1"/>
        <v>168.54000000000002</v>
      </c>
    </row>
    <row r="69" spans="5:11">
      <c r="E69" s="392">
        <v>43.725000000000023</v>
      </c>
      <c r="F69" s="392">
        <v>5.35</v>
      </c>
      <c r="G69" s="392">
        <f t="shared" ref="G69:G132" si="2">E69*(-6/159)+7</f>
        <v>5.35</v>
      </c>
      <c r="I69" s="392">
        <v>0.65</v>
      </c>
      <c r="J69" s="392">
        <v>168.27500000000001</v>
      </c>
      <c r="K69" s="392">
        <f t="shared" ref="K69:K132" si="3">(I69-7)/(-6/159)</f>
        <v>168.27500000000001</v>
      </c>
    </row>
    <row r="70" spans="5:11">
      <c r="E70" s="392">
        <v>43.990000000000009</v>
      </c>
      <c r="F70" s="392">
        <v>5.34</v>
      </c>
      <c r="G70" s="392">
        <f t="shared" si="2"/>
        <v>5.34</v>
      </c>
      <c r="I70" s="392">
        <v>0.66</v>
      </c>
      <c r="J70" s="392">
        <v>168.01</v>
      </c>
      <c r="K70" s="392">
        <f t="shared" si="3"/>
        <v>168.01</v>
      </c>
    </row>
    <row r="71" spans="5:11">
      <c r="E71" s="392">
        <v>44.254999999999995</v>
      </c>
      <c r="F71" s="392">
        <v>5.33</v>
      </c>
      <c r="G71" s="392">
        <f t="shared" si="2"/>
        <v>5.33</v>
      </c>
      <c r="I71" s="392">
        <v>0.67</v>
      </c>
      <c r="J71" s="392">
        <v>167.745</v>
      </c>
      <c r="K71" s="392">
        <f t="shared" si="3"/>
        <v>167.745</v>
      </c>
    </row>
    <row r="72" spans="5:11">
      <c r="E72" s="392">
        <v>44.519999999999982</v>
      </c>
      <c r="F72" s="392">
        <v>5.32</v>
      </c>
      <c r="G72" s="392">
        <f t="shared" si="2"/>
        <v>5.32</v>
      </c>
      <c r="I72" s="392">
        <v>0.68</v>
      </c>
      <c r="J72" s="392">
        <v>167.48</v>
      </c>
      <c r="K72" s="392">
        <f t="shared" si="3"/>
        <v>167.48000000000002</v>
      </c>
    </row>
    <row r="73" spans="5:11">
      <c r="E73" s="392">
        <v>44.784999999999997</v>
      </c>
      <c r="F73" s="392">
        <v>5.31</v>
      </c>
      <c r="G73" s="392">
        <f t="shared" si="2"/>
        <v>5.3100000000000005</v>
      </c>
      <c r="I73" s="392">
        <v>0.69</v>
      </c>
      <c r="J73" s="392">
        <v>167.215</v>
      </c>
      <c r="K73" s="392">
        <f t="shared" si="3"/>
        <v>167.21500000000003</v>
      </c>
    </row>
    <row r="74" spans="5:11">
      <c r="E74" s="392">
        <v>45.050000000000011</v>
      </c>
      <c r="F74" s="392">
        <v>5.3</v>
      </c>
      <c r="G74" s="392">
        <f t="shared" si="2"/>
        <v>5.3</v>
      </c>
      <c r="I74" s="392">
        <v>0.7</v>
      </c>
      <c r="J74" s="392">
        <v>166.95</v>
      </c>
      <c r="K74" s="392">
        <f t="shared" si="3"/>
        <v>166.95</v>
      </c>
    </row>
    <row r="75" spans="5:11">
      <c r="E75" s="392">
        <v>45.314999999999998</v>
      </c>
      <c r="F75" s="392">
        <v>5.29</v>
      </c>
      <c r="G75" s="392">
        <f t="shared" si="2"/>
        <v>5.29</v>
      </c>
      <c r="I75" s="392">
        <v>0.71</v>
      </c>
      <c r="J75" s="392">
        <v>166.685</v>
      </c>
      <c r="K75" s="392">
        <f t="shared" si="3"/>
        <v>166.685</v>
      </c>
    </row>
    <row r="76" spans="5:11">
      <c r="E76" s="392">
        <v>45.579999999999984</v>
      </c>
      <c r="F76" s="392">
        <v>5.28</v>
      </c>
      <c r="G76" s="392">
        <f t="shared" si="2"/>
        <v>5.2800000000000011</v>
      </c>
      <c r="I76" s="392">
        <v>0.72</v>
      </c>
      <c r="J76" s="392">
        <v>166.42000000000002</v>
      </c>
      <c r="K76" s="392">
        <f t="shared" si="3"/>
        <v>166.42000000000002</v>
      </c>
    </row>
    <row r="77" spans="5:11">
      <c r="E77" s="392">
        <v>45.844999999999999</v>
      </c>
      <c r="F77" s="392">
        <v>5.27</v>
      </c>
      <c r="G77" s="392">
        <f t="shared" si="2"/>
        <v>5.27</v>
      </c>
      <c r="I77" s="392">
        <v>0.73</v>
      </c>
      <c r="J77" s="392">
        <v>166.155</v>
      </c>
      <c r="K77" s="392">
        <f t="shared" si="3"/>
        <v>166.155</v>
      </c>
    </row>
    <row r="78" spans="5:11">
      <c r="E78" s="392">
        <v>46.110000000000014</v>
      </c>
      <c r="F78" s="392">
        <v>5.26</v>
      </c>
      <c r="G78" s="392">
        <f t="shared" si="2"/>
        <v>5.26</v>
      </c>
      <c r="I78" s="392">
        <v>0.74</v>
      </c>
      <c r="J78" s="392">
        <v>165.89</v>
      </c>
      <c r="K78" s="392">
        <f t="shared" si="3"/>
        <v>165.89000000000001</v>
      </c>
    </row>
    <row r="79" spans="5:11">
      <c r="E79" s="392">
        <v>46.375</v>
      </c>
      <c r="F79" s="392">
        <v>5.25</v>
      </c>
      <c r="G79" s="392">
        <f t="shared" si="2"/>
        <v>5.25</v>
      </c>
      <c r="I79" s="392">
        <v>0.75</v>
      </c>
      <c r="J79" s="392">
        <v>165.625</v>
      </c>
      <c r="K79" s="392">
        <f t="shared" si="3"/>
        <v>165.625</v>
      </c>
    </row>
    <row r="80" spans="5:11">
      <c r="E80" s="392">
        <v>46.639999999999986</v>
      </c>
      <c r="F80" s="392">
        <v>5.24</v>
      </c>
      <c r="G80" s="392">
        <f t="shared" si="2"/>
        <v>5.24</v>
      </c>
      <c r="I80" s="392">
        <v>0.76</v>
      </c>
      <c r="J80" s="392">
        <v>165.36</v>
      </c>
      <c r="K80" s="392">
        <f t="shared" si="3"/>
        <v>165.36</v>
      </c>
    </row>
    <row r="81" spans="5:11">
      <c r="E81" s="392">
        <v>46.905000000000001</v>
      </c>
      <c r="F81" s="392">
        <v>5.23</v>
      </c>
      <c r="G81" s="392">
        <f t="shared" si="2"/>
        <v>5.23</v>
      </c>
      <c r="I81" s="392">
        <v>0.77</v>
      </c>
      <c r="J81" s="392">
        <v>165.095</v>
      </c>
      <c r="K81" s="392">
        <f t="shared" si="3"/>
        <v>165.09500000000003</v>
      </c>
    </row>
    <row r="82" spans="5:11">
      <c r="E82" s="392">
        <v>47.170000000000016</v>
      </c>
      <c r="F82" s="392">
        <v>5.22</v>
      </c>
      <c r="G82" s="392">
        <f t="shared" si="2"/>
        <v>5.22</v>
      </c>
      <c r="I82" s="392">
        <v>0.78</v>
      </c>
      <c r="J82" s="392">
        <v>164.82999999999998</v>
      </c>
      <c r="K82" s="392">
        <f t="shared" si="3"/>
        <v>164.83</v>
      </c>
    </row>
    <row r="83" spans="5:11">
      <c r="E83" s="392">
        <v>47.435000000000002</v>
      </c>
      <c r="F83" s="392">
        <v>5.21</v>
      </c>
      <c r="G83" s="392">
        <f t="shared" si="2"/>
        <v>5.21</v>
      </c>
      <c r="I83" s="392">
        <v>0.79</v>
      </c>
      <c r="J83" s="392">
        <v>164.565</v>
      </c>
      <c r="K83" s="392">
        <f t="shared" si="3"/>
        <v>164.565</v>
      </c>
    </row>
    <row r="84" spans="5:11">
      <c r="E84" s="392">
        <v>47.699999999999989</v>
      </c>
      <c r="F84" s="392">
        <v>5.2</v>
      </c>
      <c r="G84" s="392">
        <f t="shared" si="2"/>
        <v>5.2</v>
      </c>
      <c r="I84" s="392">
        <v>0.8</v>
      </c>
      <c r="J84" s="392">
        <v>164.3</v>
      </c>
      <c r="K84" s="392">
        <f t="shared" si="3"/>
        <v>164.3</v>
      </c>
    </row>
    <row r="85" spans="5:11">
      <c r="E85" s="392">
        <v>47.965000000000003</v>
      </c>
      <c r="F85" s="392">
        <v>5.19</v>
      </c>
      <c r="G85" s="392">
        <f t="shared" si="2"/>
        <v>5.1899999999999995</v>
      </c>
      <c r="I85" s="392">
        <v>0.81</v>
      </c>
      <c r="J85" s="392">
        <v>164.035</v>
      </c>
      <c r="K85" s="392">
        <f t="shared" si="3"/>
        <v>164.035</v>
      </c>
    </row>
    <row r="86" spans="5:11">
      <c r="E86" s="392">
        <v>48.230000000000018</v>
      </c>
      <c r="F86" s="392">
        <v>5.18</v>
      </c>
      <c r="G86" s="392">
        <f t="shared" si="2"/>
        <v>5.18</v>
      </c>
      <c r="I86" s="392">
        <v>0.82</v>
      </c>
      <c r="J86" s="392">
        <v>163.77000000000001</v>
      </c>
      <c r="K86" s="392">
        <f t="shared" si="3"/>
        <v>163.77000000000001</v>
      </c>
    </row>
    <row r="87" spans="5:11">
      <c r="E87" s="392">
        <v>48.495000000000005</v>
      </c>
      <c r="F87" s="392">
        <v>5.17</v>
      </c>
      <c r="G87" s="392">
        <f t="shared" si="2"/>
        <v>5.17</v>
      </c>
      <c r="I87" s="392">
        <v>0.83</v>
      </c>
      <c r="J87" s="392">
        <v>163.505</v>
      </c>
      <c r="K87" s="392">
        <f t="shared" si="3"/>
        <v>163.505</v>
      </c>
    </row>
    <row r="88" spans="5:11">
      <c r="E88" s="392">
        <v>48.759999999999991</v>
      </c>
      <c r="F88" s="392">
        <v>5.16</v>
      </c>
      <c r="G88" s="392">
        <f t="shared" si="2"/>
        <v>5.16</v>
      </c>
      <c r="I88" s="392">
        <v>0.84</v>
      </c>
      <c r="J88" s="392">
        <v>163.24</v>
      </c>
      <c r="K88" s="392">
        <f t="shared" si="3"/>
        <v>163.24</v>
      </c>
    </row>
    <row r="89" spans="5:11">
      <c r="E89" s="392">
        <v>49.024999999999977</v>
      </c>
      <c r="F89" s="392">
        <v>5.15</v>
      </c>
      <c r="G89" s="392">
        <f t="shared" si="2"/>
        <v>5.1500000000000012</v>
      </c>
      <c r="I89" s="392">
        <v>0.85</v>
      </c>
      <c r="J89" s="392">
        <v>162.97499999999999</v>
      </c>
      <c r="K89" s="392">
        <f t="shared" si="3"/>
        <v>162.97500000000002</v>
      </c>
    </row>
    <row r="90" spans="5:11">
      <c r="E90" s="392">
        <v>49.29000000000002</v>
      </c>
      <c r="F90" s="392">
        <v>5.14</v>
      </c>
      <c r="G90" s="392">
        <f t="shared" si="2"/>
        <v>5.1399999999999988</v>
      </c>
      <c r="I90" s="392">
        <v>0.86</v>
      </c>
      <c r="J90" s="392">
        <v>162.71</v>
      </c>
      <c r="K90" s="392">
        <f t="shared" si="3"/>
        <v>162.71</v>
      </c>
    </row>
    <row r="91" spans="5:11">
      <c r="E91" s="392">
        <v>49.555000000000007</v>
      </c>
      <c r="F91" s="392">
        <v>5.13</v>
      </c>
      <c r="G91" s="392">
        <f t="shared" si="2"/>
        <v>5.13</v>
      </c>
      <c r="I91" s="392">
        <v>0.87</v>
      </c>
      <c r="J91" s="392">
        <v>162.44499999999999</v>
      </c>
      <c r="K91" s="392">
        <f t="shared" si="3"/>
        <v>162.44499999999999</v>
      </c>
    </row>
    <row r="92" spans="5:11">
      <c r="E92" s="392">
        <v>49.819999999999993</v>
      </c>
      <c r="F92" s="392">
        <v>5.12</v>
      </c>
      <c r="G92" s="392">
        <f t="shared" si="2"/>
        <v>5.12</v>
      </c>
      <c r="I92" s="392">
        <v>0.88</v>
      </c>
      <c r="J92" s="392">
        <v>162.18</v>
      </c>
      <c r="K92" s="392">
        <f t="shared" si="3"/>
        <v>162.18</v>
      </c>
    </row>
    <row r="93" spans="5:11">
      <c r="E93" s="392">
        <v>50.08499999999998</v>
      </c>
      <c r="F93" s="392">
        <v>5.1100000000000003</v>
      </c>
      <c r="G93" s="392">
        <f t="shared" si="2"/>
        <v>5.1100000000000012</v>
      </c>
      <c r="I93" s="392">
        <v>0.89</v>
      </c>
      <c r="J93" s="392">
        <v>161.91499999999999</v>
      </c>
      <c r="K93" s="392">
        <f t="shared" si="3"/>
        <v>161.91500000000002</v>
      </c>
    </row>
    <row r="94" spans="5:11">
      <c r="E94" s="392">
        <v>50.350000000000023</v>
      </c>
      <c r="F94" s="392">
        <v>5.0999999999999996</v>
      </c>
      <c r="G94" s="392">
        <f t="shared" si="2"/>
        <v>5.0999999999999996</v>
      </c>
      <c r="I94" s="392">
        <v>0.9</v>
      </c>
      <c r="J94" s="392">
        <v>161.65</v>
      </c>
      <c r="K94" s="392">
        <f t="shared" si="3"/>
        <v>161.65</v>
      </c>
    </row>
    <row r="95" spans="5:11">
      <c r="E95" s="392">
        <v>50.615000000000009</v>
      </c>
      <c r="F95" s="392">
        <v>5.09</v>
      </c>
      <c r="G95" s="392">
        <f t="shared" si="2"/>
        <v>5.09</v>
      </c>
      <c r="I95" s="392">
        <v>0.91</v>
      </c>
      <c r="J95" s="392">
        <v>161.38499999999999</v>
      </c>
      <c r="K95" s="392">
        <f t="shared" si="3"/>
        <v>161.38499999999999</v>
      </c>
    </row>
    <row r="96" spans="5:11">
      <c r="E96" s="392">
        <v>50.879999999999995</v>
      </c>
      <c r="F96" s="392">
        <v>5.08</v>
      </c>
      <c r="G96" s="392">
        <f t="shared" si="2"/>
        <v>5.08</v>
      </c>
      <c r="I96" s="392">
        <v>0.92</v>
      </c>
      <c r="J96" s="392">
        <v>161.12</v>
      </c>
      <c r="K96" s="392">
        <f t="shared" si="3"/>
        <v>161.12</v>
      </c>
    </row>
    <row r="97" spans="5:11">
      <c r="E97" s="392">
        <v>51.144999999999982</v>
      </c>
      <c r="F97" s="392">
        <v>5.07</v>
      </c>
      <c r="G97" s="392">
        <f t="shared" si="2"/>
        <v>5.07</v>
      </c>
      <c r="I97" s="392">
        <v>0.93</v>
      </c>
      <c r="J97" s="392">
        <v>160.85499999999999</v>
      </c>
      <c r="K97" s="392">
        <f t="shared" si="3"/>
        <v>160.85500000000002</v>
      </c>
    </row>
    <row r="98" spans="5:11">
      <c r="E98" s="392">
        <v>51.41</v>
      </c>
      <c r="F98" s="392">
        <v>5.0599999999999996</v>
      </c>
      <c r="G98" s="392">
        <f t="shared" si="2"/>
        <v>5.0600000000000005</v>
      </c>
      <c r="I98" s="392">
        <v>0.94</v>
      </c>
      <c r="J98" s="392">
        <v>160.59</v>
      </c>
      <c r="K98" s="392">
        <f t="shared" si="3"/>
        <v>160.59000000000003</v>
      </c>
    </row>
    <row r="99" spans="5:11">
      <c r="E99" s="392">
        <v>51.675000000000011</v>
      </c>
      <c r="F99" s="392">
        <v>5.05</v>
      </c>
      <c r="G99" s="392">
        <f t="shared" si="2"/>
        <v>5.05</v>
      </c>
      <c r="I99" s="392">
        <v>0.95</v>
      </c>
      <c r="J99" s="392">
        <v>160.32499999999999</v>
      </c>
      <c r="K99" s="392">
        <f t="shared" si="3"/>
        <v>160.32499999999999</v>
      </c>
    </row>
    <row r="100" spans="5:11">
      <c r="E100" s="392">
        <v>51.94</v>
      </c>
      <c r="F100" s="392">
        <v>5.04</v>
      </c>
      <c r="G100" s="392">
        <f t="shared" si="2"/>
        <v>5.04</v>
      </c>
      <c r="I100" s="392">
        <v>0.96</v>
      </c>
      <c r="J100" s="392">
        <v>160.06</v>
      </c>
      <c r="K100" s="392">
        <f t="shared" si="3"/>
        <v>160.06</v>
      </c>
    </row>
    <row r="101" spans="5:11">
      <c r="E101" s="392">
        <v>52.204999999999984</v>
      </c>
      <c r="F101" s="392">
        <v>5.03</v>
      </c>
      <c r="G101" s="392">
        <f t="shared" si="2"/>
        <v>5.0300000000000011</v>
      </c>
      <c r="I101" s="392">
        <v>0.97</v>
      </c>
      <c r="J101" s="392">
        <v>159.79500000000002</v>
      </c>
      <c r="K101" s="392">
        <f t="shared" si="3"/>
        <v>159.79500000000002</v>
      </c>
    </row>
    <row r="102" spans="5:11">
      <c r="E102" s="392">
        <v>52.47</v>
      </c>
      <c r="F102" s="392">
        <v>5.0199999999999996</v>
      </c>
      <c r="G102" s="392">
        <f t="shared" si="2"/>
        <v>5.0199999999999996</v>
      </c>
      <c r="I102" s="392">
        <v>0.98</v>
      </c>
      <c r="J102" s="392">
        <v>159.53</v>
      </c>
      <c r="K102" s="392">
        <f t="shared" si="3"/>
        <v>159.53</v>
      </c>
    </row>
    <row r="103" spans="5:11">
      <c r="E103" s="392">
        <v>52.735000000000014</v>
      </c>
      <c r="F103" s="392">
        <v>5.01</v>
      </c>
      <c r="G103" s="392">
        <f t="shared" si="2"/>
        <v>5.01</v>
      </c>
      <c r="I103" s="392">
        <v>0.99</v>
      </c>
      <c r="J103" s="392">
        <v>159.26499999999999</v>
      </c>
      <c r="K103" s="392">
        <f t="shared" si="3"/>
        <v>159.26499999999999</v>
      </c>
    </row>
    <row r="104" spans="5:11">
      <c r="E104" s="392">
        <v>53</v>
      </c>
      <c r="F104" s="392">
        <v>5</v>
      </c>
      <c r="G104" s="392">
        <f t="shared" si="2"/>
        <v>5</v>
      </c>
      <c r="I104" s="392">
        <v>1</v>
      </c>
      <c r="J104" s="392">
        <v>159</v>
      </c>
      <c r="K104" s="392">
        <f t="shared" si="3"/>
        <v>159</v>
      </c>
    </row>
    <row r="105" spans="5:11">
      <c r="E105" s="392">
        <v>53.264999999999986</v>
      </c>
      <c r="F105" s="392">
        <v>4.99</v>
      </c>
      <c r="G105" s="392">
        <f t="shared" si="2"/>
        <v>4.99</v>
      </c>
      <c r="I105" s="392">
        <v>1.01</v>
      </c>
      <c r="J105" s="392">
        <v>158.73500000000001</v>
      </c>
      <c r="K105" s="392">
        <f t="shared" si="3"/>
        <v>158.73500000000001</v>
      </c>
    </row>
    <row r="106" spans="5:11">
      <c r="E106" s="392">
        <v>53.53</v>
      </c>
      <c r="F106" s="392">
        <v>4.9800000000000004</v>
      </c>
      <c r="G106" s="392">
        <f t="shared" si="2"/>
        <v>4.9800000000000004</v>
      </c>
      <c r="I106" s="392">
        <v>1.02</v>
      </c>
      <c r="J106" s="392">
        <v>158.47</v>
      </c>
      <c r="K106" s="392">
        <f t="shared" si="3"/>
        <v>158.47000000000003</v>
      </c>
    </row>
    <row r="107" spans="5:11">
      <c r="E107" s="392">
        <v>53.795000000000016</v>
      </c>
      <c r="F107" s="392">
        <v>4.97</v>
      </c>
      <c r="G107" s="392">
        <f t="shared" si="2"/>
        <v>4.9699999999999989</v>
      </c>
      <c r="I107" s="392">
        <v>1.03</v>
      </c>
      <c r="J107" s="392">
        <v>158.20499999999998</v>
      </c>
      <c r="K107" s="392">
        <f t="shared" si="3"/>
        <v>158.20500000000001</v>
      </c>
    </row>
    <row r="108" spans="5:11">
      <c r="E108" s="392">
        <v>54.06</v>
      </c>
      <c r="F108" s="392">
        <v>4.96</v>
      </c>
      <c r="G108" s="392">
        <f t="shared" si="2"/>
        <v>4.96</v>
      </c>
      <c r="I108" s="392">
        <v>1.04</v>
      </c>
      <c r="J108" s="392">
        <v>157.94</v>
      </c>
      <c r="K108" s="392">
        <f t="shared" si="3"/>
        <v>157.94</v>
      </c>
    </row>
    <row r="109" spans="5:11">
      <c r="E109" s="392">
        <v>54.324999999999989</v>
      </c>
      <c r="F109" s="392">
        <v>4.95</v>
      </c>
      <c r="G109" s="392">
        <f t="shared" si="2"/>
        <v>4.9500000000000011</v>
      </c>
      <c r="I109" s="392">
        <v>1.05</v>
      </c>
      <c r="J109" s="392">
        <v>157.67500000000001</v>
      </c>
      <c r="K109" s="392">
        <f t="shared" si="3"/>
        <v>157.67500000000001</v>
      </c>
    </row>
    <row r="110" spans="5:11">
      <c r="E110" s="392">
        <v>54.59</v>
      </c>
      <c r="F110" s="392">
        <v>4.9400000000000004</v>
      </c>
      <c r="G110" s="392">
        <f t="shared" si="2"/>
        <v>4.9399999999999995</v>
      </c>
      <c r="I110" s="392">
        <v>1.06</v>
      </c>
      <c r="J110" s="392">
        <v>157.41</v>
      </c>
      <c r="K110" s="392">
        <f t="shared" si="3"/>
        <v>157.41</v>
      </c>
    </row>
    <row r="111" spans="5:11">
      <c r="E111" s="392">
        <v>54.855000000000018</v>
      </c>
      <c r="F111" s="392">
        <v>4.93</v>
      </c>
      <c r="G111" s="392">
        <f t="shared" si="2"/>
        <v>4.93</v>
      </c>
      <c r="I111" s="392">
        <v>1.07</v>
      </c>
      <c r="J111" s="392">
        <v>157.14500000000001</v>
      </c>
      <c r="K111" s="392">
        <f t="shared" si="3"/>
        <v>157.14500000000001</v>
      </c>
    </row>
    <row r="112" spans="5:11">
      <c r="E112" s="392">
        <v>55.120000000000005</v>
      </c>
      <c r="F112" s="392">
        <v>4.92</v>
      </c>
      <c r="G112" s="392">
        <f t="shared" si="2"/>
        <v>4.92</v>
      </c>
      <c r="I112" s="392">
        <v>1.08</v>
      </c>
      <c r="J112" s="392">
        <v>156.88</v>
      </c>
      <c r="K112" s="392">
        <f t="shared" si="3"/>
        <v>156.88</v>
      </c>
    </row>
    <row r="113" spans="5:11">
      <c r="E113" s="392">
        <v>55.384999999999991</v>
      </c>
      <c r="F113" s="392">
        <v>4.91</v>
      </c>
      <c r="G113" s="392">
        <f t="shared" si="2"/>
        <v>4.91</v>
      </c>
      <c r="I113" s="392">
        <v>1.0900000000000001</v>
      </c>
      <c r="J113" s="392">
        <v>156.61500000000001</v>
      </c>
      <c r="K113" s="392">
        <f t="shared" si="3"/>
        <v>156.61500000000001</v>
      </c>
    </row>
    <row r="114" spans="5:11">
      <c r="E114" s="392">
        <v>55.649999999999977</v>
      </c>
      <c r="F114" s="392">
        <v>4.9000000000000004</v>
      </c>
      <c r="G114" s="392">
        <f t="shared" si="2"/>
        <v>4.9000000000000004</v>
      </c>
      <c r="I114" s="392">
        <v>1.1000000000000001</v>
      </c>
      <c r="J114" s="392">
        <v>156.35</v>
      </c>
      <c r="K114" s="392">
        <f t="shared" si="3"/>
        <v>156.35000000000002</v>
      </c>
    </row>
    <row r="115" spans="5:11">
      <c r="E115" s="392">
        <v>55.91500000000002</v>
      </c>
      <c r="F115" s="392">
        <v>4.8899999999999997</v>
      </c>
      <c r="G115" s="392">
        <f t="shared" si="2"/>
        <v>4.8899999999999988</v>
      </c>
      <c r="I115" s="392">
        <v>1.1100000000000001</v>
      </c>
      <c r="J115" s="392">
        <v>156.08500000000001</v>
      </c>
      <c r="K115" s="392">
        <f t="shared" si="3"/>
        <v>156.08500000000001</v>
      </c>
    </row>
    <row r="116" spans="5:11">
      <c r="E116" s="392">
        <v>56.180000000000007</v>
      </c>
      <c r="F116" s="392">
        <v>4.88</v>
      </c>
      <c r="G116" s="392">
        <f t="shared" si="2"/>
        <v>4.88</v>
      </c>
      <c r="I116" s="392">
        <v>1.1200000000000001</v>
      </c>
      <c r="J116" s="392">
        <v>155.82</v>
      </c>
      <c r="K116" s="392">
        <f t="shared" si="3"/>
        <v>155.82</v>
      </c>
    </row>
    <row r="117" spans="5:11">
      <c r="E117" s="392">
        <v>56.444999999999993</v>
      </c>
      <c r="F117" s="392">
        <v>4.87</v>
      </c>
      <c r="G117" s="392">
        <f t="shared" si="2"/>
        <v>4.870000000000001</v>
      </c>
      <c r="I117" s="392">
        <v>1.1299999999999999</v>
      </c>
      <c r="J117" s="392">
        <v>155.55500000000001</v>
      </c>
      <c r="K117" s="392">
        <f t="shared" si="3"/>
        <v>155.55500000000001</v>
      </c>
    </row>
    <row r="118" spans="5:11">
      <c r="E118" s="392">
        <v>56.70999999999998</v>
      </c>
      <c r="F118" s="392">
        <v>4.8600000000000003</v>
      </c>
      <c r="G118" s="392">
        <f t="shared" si="2"/>
        <v>4.8600000000000012</v>
      </c>
      <c r="I118" s="392">
        <v>1.1399999999999999</v>
      </c>
      <c r="J118" s="392">
        <v>155.29</v>
      </c>
      <c r="K118" s="392">
        <f t="shared" si="3"/>
        <v>155.29000000000002</v>
      </c>
    </row>
    <row r="119" spans="5:11">
      <c r="E119" s="392">
        <v>56.975000000000023</v>
      </c>
      <c r="F119" s="392">
        <v>4.8499999999999996</v>
      </c>
      <c r="G119" s="392">
        <f t="shared" si="2"/>
        <v>4.8499999999999996</v>
      </c>
      <c r="I119" s="392">
        <v>1.1499999999999999</v>
      </c>
      <c r="J119" s="392">
        <v>155.02500000000001</v>
      </c>
      <c r="K119" s="392">
        <f t="shared" si="3"/>
        <v>155.02500000000001</v>
      </c>
    </row>
    <row r="120" spans="5:11">
      <c r="E120" s="392">
        <v>57.240000000000009</v>
      </c>
      <c r="F120" s="392">
        <v>4.84</v>
      </c>
      <c r="G120" s="392">
        <f t="shared" si="2"/>
        <v>4.84</v>
      </c>
      <c r="I120" s="392">
        <v>1.1599999999999999</v>
      </c>
      <c r="J120" s="392">
        <v>154.76</v>
      </c>
      <c r="K120" s="392">
        <f t="shared" si="3"/>
        <v>154.76</v>
      </c>
    </row>
    <row r="121" spans="5:11">
      <c r="E121" s="392">
        <v>57.504999999999995</v>
      </c>
      <c r="F121" s="392">
        <v>4.83</v>
      </c>
      <c r="G121" s="392">
        <f t="shared" si="2"/>
        <v>4.83</v>
      </c>
      <c r="I121" s="392">
        <v>1.17</v>
      </c>
      <c r="J121" s="392">
        <v>154.495</v>
      </c>
      <c r="K121" s="392">
        <f t="shared" si="3"/>
        <v>154.495</v>
      </c>
    </row>
    <row r="122" spans="5:11">
      <c r="E122" s="392">
        <v>57.769999999999996</v>
      </c>
      <c r="F122" s="392">
        <v>4.82</v>
      </c>
      <c r="G122" s="392">
        <f t="shared" si="2"/>
        <v>4.82</v>
      </c>
      <c r="I122" s="392">
        <v>1.18</v>
      </c>
      <c r="J122" s="392">
        <v>154.22999999999999</v>
      </c>
      <c r="K122" s="392">
        <f t="shared" si="3"/>
        <v>154.23000000000002</v>
      </c>
    </row>
    <row r="123" spans="5:11">
      <c r="E123" s="392">
        <v>58.035000000000011</v>
      </c>
      <c r="F123" s="392">
        <v>4.8099999999999996</v>
      </c>
      <c r="G123" s="392">
        <f t="shared" si="2"/>
        <v>4.8099999999999996</v>
      </c>
      <c r="I123" s="392">
        <v>1.19</v>
      </c>
      <c r="J123" s="392">
        <v>153.965</v>
      </c>
      <c r="K123" s="392">
        <f t="shared" si="3"/>
        <v>153.96500000000003</v>
      </c>
    </row>
    <row r="124" spans="5:11">
      <c r="E124" s="392">
        <v>58.300000000000011</v>
      </c>
      <c r="F124" s="392">
        <v>4.8</v>
      </c>
      <c r="G124" s="392">
        <f t="shared" si="2"/>
        <v>4.8</v>
      </c>
      <c r="I124" s="392">
        <v>1.2</v>
      </c>
      <c r="J124" s="392">
        <v>153.69999999999999</v>
      </c>
      <c r="K124" s="392">
        <f t="shared" si="3"/>
        <v>153.69999999999999</v>
      </c>
    </row>
    <row r="125" spans="5:11">
      <c r="E125" s="392">
        <v>58.564999999999998</v>
      </c>
      <c r="F125" s="392">
        <v>4.79</v>
      </c>
      <c r="G125" s="392">
        <f t="shared" si="2"/>
        <v>4.79</v>
      </c>
      <c r="I125" s="392">
        <v>1.21</v>
      </c>
      <c r="J125" s="392">
        <v>153.435</v>
      </c>
      <c r="K125" s="392">
        <f t="shared" si="3"/>
        <v>153.435</v>
      </c>
    </row>
    <row r="126" spans="5:11">
      <c r="E126" s="392">
        <v>58.83</v>
      </c>
      <c r="F126" s="392">
        <v>4.78</v>
      </c>
      <c r="G126" s="392">
        <f t="shared" si="2"/>
        <v>4.78</v>
      </c>
      <c r="I126" s="392">
        <v>1.22</v>
      </c>
      <c r="J126" s="392">
        <v>153.17000000000002</v>
      </c>
      <c r="K126" s="392">
        <f t="shared" si="3"/>
        <v>153.17000000000002</v>
      </c>
    </row>
    <row r="127" spans="5:11">
      <c r="E127" s="392">
        <v>59.095000000000013</v>
      </c>
      <c r="F127" s="392">
        <v>4.7699999999999996</v>
      </c>
      <c r="G127" s="392">
        <f t="shared" si="2"/>
        <v>4.7699999999999996</v>
      </c>
      <c r="I127" s="392">
        <v>1.23</v>
      </c>
      <c r="J127" s="392">
        <v>152.905</v>
      </c>
      <c r="K127" s="392">
        <f t="shared" si="3"/>
        <v>152.905</v>
      </c>
    </row>
    <row r="128" spans="5:11">
      <c r="E128" s="392">
        <v>59.36</v>
      </c>
      <c r="F128" s="392">
        <v>4.76</v>
      </c>
      <c r="G128" s="392">
        <f t="shared" si="2"/>
        <v>4.76</v>
      </c>
      <c r="I128" s="392">
        <v>1.24</v>
      </c>
      <c r="J128" s="392">
        <v>152.63999999999999</v>
      </c>
      <c r="K128" s="392">
        <f t="shared" si="3"/>
        <v>152.63999999999999</v>
      </c>
    </row>
    <row r="129" spans="5:11">
      <c r="E129" s="392">
        <v>59.625</v>
      </c>
      <c r="F129" s="392">
        <v>4.75</v>
      </c>
      <c r="G129" s="392">
        <f t="shared" si="2"/>
        <v>4.75</v>
      </c>
      <c r="I129" s="392">
        <v>1.25</v>
      </c>
      <c r="J129" s="392">
        <v>152.375</v>
      </c>
      <c r="K129" s="392">
        <f t="shared" si="3"/>
        <v>152.375</v>
      </c>
    </row>
    <row r="130" spans="5:11">
      <c r="E130" s="392">
        <v>59.89</v>
      </c>
      <c r="F130" s="392">
        <v>4.74</v>
      </c>
      <c r="G130" s="392">
        <f t="shared" si="2"/>
        <v>4.74</v>
      </c>
      <c r="I130" s="392">
        <v>1.26</v>
      </c>
      <c r="J130" s="392">
        <v>152.11000000000001</v>
      </c>
      <c r="K130" s="392">
        <f t="shared" si="3"/>
        <v>152.11000000000001</v>
      </c>
    </row>
    <row r="131" spans="5:11">
      <c r="E131" s="392">
        <v>60.154999999999987</v>
      </c>
      <c r="F131" s="392">
        <v>4.7300000000000004</v>
      </c>
      <c r="G131" s="392">
        <f t="shared" si="2"/>
        <v>4.7300000000000004</v>
      </c>
      <c r="I131" s="392">
        <v>1.27</v>
      </c>
      <c r="J131" s="392">
        <v>151.845</v>
      </c>
      <c r="K131" s="392">
        <f t="shared" si="3"/>
        <v>151.84500000000003</v>
      </c>
    </row>
    <row r="132" spans="5:11">
      <c r="E132" s="392">
        <v>60.42</v>
      </c>
      <c r="F132" s="392">
        <v>4.72</v>
      </c>
      <c r="G132" s="392">
        <f t="shared" si="2"/>
        <v>4.7200000000000006</v>
      </c>
      <c r="I132" s="392">
        <v>1.28</v>
      </c>
      <c r="J132" s="392">
        <v>151.57999999999998</v>
      </c>
      <c r="K132" s="392">
        <f t="shared" si="3"/>
        <v>151.58000000000001</v>
      </c>
    </row>
    <row r="133" spans="5:11">
      <c r="E133" s="392">
        <v>60.685000000000002</v>
      </c>
      <c r="F133" s="392">
        <v>4.71</v>
      </c>
      <c r="G133" s="392">
        <f t="shared" ref="G133:G196" si="4">E133*(-6/159)+7</f>
        <v>4.71</v>
      </c>
      <c r="I133" s="392">
        <v>1.29</v>
      </c>
      <c r="J133" s="392">
        <v>151.315</v>
      </c>
      <c r="K133" s="392">
        <f t="shared" ref="K133:K196" si="5">(I133-7)/(-6/159)</f>
        <v>151.315</v>
      </c>
    </row>
    <row r="134" spans="5:11">
      <c r="E134" s="392">
        <v>60.949999999999989</v>
      </c>
      <c r="F134" s="392">
        <v>4.7</v>
      </c>
      <c r="G134" s="392">
        <f t="shared" si="4"/>
        <v>4.7000000000000011</v>
      </c>
      <c r="I134" s="392">
        <v>1.3</v>
      </c>
      <c r="J134" s="392">
        <v>151.05000000000001</v>
      </c>
      <c r="K134" s="392">
        <f t="shared" si="5"/>
        <v>151.05000000000001</v>
      </c>
    </row>
    <row r="135" spans="5:11">
      <c r="E135" s="392">
        <v>61.214999999999989</v>
      </c>
      <c r="F135" s="392">
        <v>4.6900000000000004</v>
      </c>
      <c r="G135" s="392">
        <f t="shared" si="4"/>
        <v>4.6900000000000004</v>
      </c>
      <c r="I135" s="392">
        <v>1.31</v>
      </c>
      <c r="J135" s="392">
        <v>150.785</v>
      </c>
      <c r="K135" s="392">
        <f t="shared" si="5"/>
        <v>150.785</v>
      </c>
    </row>
    <row r="136" spans="5:11">
      <c r="E136" s="392">
        <v>61.480000000000004</v>
      </c>
      <c r="F136" s="392">
        <v>4.68</v>
      </c>
      <c r="G136" s="392">
        <f t="shared" si="4"/>
        <v>4.68</v>
      </c>
      <c r="I136" s="392">
        <v>1.32</v>
      </c>
      <c r="J136" s="392">
        <v>150.51999999999998</v>
      </c>
      <c r="K136" s="392">
        <f t="shared" si="5"/>
        <v>150.52000000000001</v>
      </c>
    </row>
    <row r="137" spans="5:11">
      <c r="E137" s="392">
        <v>61.745000000000005</v>
      </c>
      <c r="F137" s="392">
        <v>4.67</v>
      </c>
      <c r="G137" s="392">
        <f t="shared" si="4"/>
        <v>4.67</v>
      </c>
      <c r="I137" s="392">
        <v>1.33</v>
      </c>
      <c r="J137" s="392">
        <v>150.255</v>
      </c>
      <c r="K137" s="392">
        <f t="shared" si="5"/>
        <v>150.255</v>
      </c>
    </row>
    <row r="138" spans="5:11">
      <c r="E138" s="392">
        <v>62.009999999999991</v>
      </c>
      <c r="F138" s="392">
        <v>4.66</v>
      </c>
      <c r="G138" s="392">
        <f t="shared" si="4"/>
        <v>4.66</v>
      </c>
      <c r="I138" s="392">
        <v>1.34</v>
      </c>
      <c r="J138" s="392">
        <v>149.99</v>
      </c>
      <c r="K138" s="392">
        <f t="shared" si="5"/>
        <v>149.99</v>
      </c>
    </row>
    <row r="139" spans="5:11">
      <c r="E139" s="392">
        <v>62.274999999999991</v>
      </c>
      <c r="F139" s="392">
        <v>4.6500000000000004</v>
      </c>
      <c r="G139" s="392">
        <f t="shared" si="4"/>
        <v>4.6500000000000004</v>
      </c>
      <c r="I139" s="392">
        <v>1.35</v>
      </c>
      <c r="J139" s="392">
        <v>149.72499999999999</v>
      </c>
      <c r="K139" s="392">
        <f t="shared" si="5"/>
        <v>149.72500000000002</v>
      </c>
    </row>
    <row r="140" spans="5:11">
      <c r="E140" s="392">
        <v>62.540000000000006</v>
      </c>
      <c r="F140" s="392">
        <v>4.6399999999999997</v>
      </c>
      <c r="G140" s="392">
        <f t="shared" si="4"/>
        <v>4.6399999999999997</v>
      </c>
      <c r="I140" s="392">
        <v>1.36</v>
      </c>
      <c r="J140" s="392">
        <v>149.46</v>
      </c>
      <c r="K140" s="392">
        <f t="shared" si="5"/>
        <v>149.46</v>
      </c>
    </row>
    <row r="141" spans="5:11">
      <c r="E141" s="392">
        <v>62.805000000000007</v>
      </c>
      <c r="F141" s="392">
        <v>4.63</v>
      </c>
      <c r="G141" s="392">
        <f t="shared" si="4"/>
        <v>4.63</v>
      </c>
      <c r="I141" s="392">
        <v>1.37</v>
      </c>
      <c r="J141" s="392">
        <v>149.19499999999999</v>
      </c>
      <c r="K141" s="392">
        <f t="shared" si="5"/>
        <v>149.19499999999999</v>
      </c>
    </row>
    <row r="142" spans="5:11">
      <c r="E142" s="392">
        <v>63.069999999999993</v>
      </c>
      <c r="F142" s="392">
        <v>4.62</v>
      </c>
      <c r="G142" s="392">
        <f t="shared" si="4"/>
        <v>4.620000000000001</v>
      </c>
      <c r="I142" s="392">
        <v>1.38</v>
      </c>
      <c r="J142" s="392">
        <v>148.93</v>
      </c>
      <c r="K142" s="392">
        <f t="shared" si="5"/>
        <v>148.93</v>
      </c>
    </row>
    <row r="143" spans="5:11">
      <c r="E143" s="392">
        <v>63.334999999999994</v>
      </c>
      <c r="F143" s="392">
        <v>4.6100000000000003</v>
      </c>
      <c r="G143" s="392">
        <f t="shared" si="4"/>
        <v>4.6100000000000003</v>
      </c>
      <c r="I143" s="392">
        <v>1.39</v>
      </c>
      <c r="J143" s="392">
        <v>148.66499999999999</v>
      </c>
      <c r="K143" s="392">
        <f t="shared" si="5"/>
        <v>148.66500000000002</v>
      </c>
    </row>
    <row r="144" spans="5:11">
      <c r="E144" s="392">
        <v>63.600000000000009</v>
      </c>
      <c r="F144" s="392">
        <v>4.5999999999999996</v>
      </c>
      <c r="G144" s="392">
        <f t="shared" si="4"/>
        <v>4.5999999999999996</v>
      </c>
      <c r="I144" s="392">
        <v>1.4</v>
      </c>
      <c r="J144" s="392">
        <v>148.4</v>
      </c>
      <c r="K144" s="392">
        <f t="shared" si="5"/>
        <v>148.4</v>
      </c>
    </row>
    <row r="145" spans="5:11">
      <c r="E145" s="392">
        <v>63.865000000000009</v>
      </c>
      <c r="F145" s="392">
        <v>4.59</v>
      </c>
      <c r="G145" s="392">
        <f t="shared" si="4"/>
        <v>4.59</v>
      </c>
      <c r="I145" s="392">
        <v>1.41</v>
      </c>
      <c r="J145" s="392">
        <v>148.13499999999999</v>
      </c>
      <c r="K145" s="392">
        <f t="shared" si="5"/>
        <v>148.13499999999999</v>
      </c>
    </row>
    <row r="146" spans="5:11">
      <c r="E146" s="392">
        <v>64.13</v>
      </c>
      <c r="F146" s="392">
        <v>4.58</v>
      </c>
      <c r="G146" s="392">
        <f t="shared" si="4"/>
        <v>4.58</v>
      </c>
      <c r="I146" s="392">
        <v>1.42</v>
      </c>
      <c r="J146" s="392">
        <v>147.87</v>
      </c>
      <c r="K146" s="392">
        <f t="shared" si="5"/>
        <v>147.87</v>
      </c>
    </row>
    <row r="147" spans="5:11">
      <c r="E147" s="392">
        <v>64.394999999999996</v>
      </c>
      <c r="F147" s="392">
        <v>4.57</v>
      </c>
      <c r="G147" s="392">
        <f t="shared" si="4"/>
        <v>4.57</v>
      </c>
      <c r="I147" s="392">
        <v>1.43</v>
      </c>
      <c r="J147" s="392">
        <v>147.60500000000002</v>
      </c>
      <c r="K147" s="392">
        <f t="shared" si="5"/>
        <v>147.60500000000002</v>
      </c>
    </row>
    <row r="148" spans="5:11">
      <c r="E148" s="392">
        <v>64.660000000000011</v>
      </c>
      <c r="F148" s="392">
        <v>4.5599999999999996</v>
      </c>
      <c r="G148" s="392">
        <f t="shared" si="4"/>
        <v>4.5599999999999996</v>
      </c>
      <c r="I148" s="392">
        <v>1.44</v>
      </c>
      <c r="J148" s="392">
        <v>147.34</v>
      </c>
      <c r="K148" s="392">
        <f t="shared" si="5"/>
        <v>147.34000000000003</v>
      </c>
    </row>
    <row r="149" spans="5:11">
      <c r="E149" s="392">
        <v>64.925000000000011</v>
      </c>
      <c r="F149" s="392">
        <v>4.55</v>
      </c>
      <c r="G149" s="392">
        <f t="shared" si="4"/>
        <v>4.55</v>
      </c>
      <c r="I149" s="392">
        <v>1.45</v>
      </c>
      <c r="J149" s="392">
        <v>147.07499999999999</v>
      </c>
      <c r="K149" s="392">
        <f t="shared" si="5"/>
        <v>147.07499999999999</v>
      </c>
    </row>
    <row r="150" spans="5:11">
      <c r="E150" s="392">
        <v>65.19</v>
      </c>
      <c r="F150" s="392">
        <v>4.54</v>
      </c>
      <c r="G150" s="392">
        <f t="shared" si="4"/>
        <v>4.54</v>
      </c>
      <c r="I150" s="392">
        <v>1.46</v>
      </c>
      <c r="J150" s="392">
        <v>146.81</v>
      </c>
      <c r="K150" s="392">
        <f t="shared" si="5"/>
        <v>146.81</v>
      </c>
    </row>
    <row r="151" spans="5:11">
      <c r="E151" s="392">
        <v>65.454999999999998</v>
      </c>
      <c r="F151" s="392">
        <v>4.53</v>
      </c>
      <c r="G151" s="392">
        <f t="shared" si="4"/>
        <v>4.53</v>
      </c>
      <c r="I151" s="392">
        <v>1.47</v>
      </c>
      <c r="J151" s="392">
        <v>146.54500000000002</v>
      </c>
      <c r="K151" s="392">
        <f t="shared" si="5"/>
        <v>146.54500000000002</v>
      </c>
    </row>
    <row r="152" spans="5:11">
      <c r="E152" s="392">
        <v>65.720000000000013</v>
      </c>
      <c r="F152" s="392">
        <v>4.5199999999999996</v>
      </c>
      <c r="G152" s="392">
        <f t="shared" si="4"/>
        <v>4.5199999999999996</v>
      </c>
      <c r="I152" s="392">
        <v>1.48</v>
      </c>
      <c r="J152" s="392">
        <v>146.28</v>
      </c>
      <c r="K152" s="392">
        <f t="shared" si="5"/>
        <v>146.28</v>
      </c>
    </row>
    <row r="153" spans="5:11">
      <c r="E153" s="392">
        <v>65.984999999999999</v>
      </c>
      <c r="F153" s="392">
        <v>4.51</v>
      </c>
      <c r="G153" s="392">
        <f t="shared" si="4"/>
        <v>4.51</v>
      </c>
      <c r="I153" s="392">
        <v>1.49</v>
      </c>
      <c r="J153" s="392">
        <v>146.01499999999999</v>
      </c>
      <c r="K153" s="392">
        <f t="shared" si="5"/>
        <v>146.01499999999999</v>
      </c>
    </row>
    <row r="154" spans="5:11">
      <c r="E154" s="392">
        <v>66.25</v>
      </c>
      <c r="F154" s="392">
        <v>4.5</v>
      </c>
      <c r="G154" s="392">
        <f t="shared" si="4"/>
        <v>4.5</v>
      </c>
      <c r="I154" s="392">
        <v>1.5</v>
      </c>
      <c r="J154" s="392">
        <v>145.75</v>
      </c>
      <c r="K154" s="392">
        <f t="shared" si="5"/>
        <v>145.75</v>
      </c>
    </row>
    <row r="155" spans="5:11">
      <c r="E155" s="392">
        <v>66.515000000000001</v>
      </c>
      <c r="F155" s="392">
        <v>4.49</v>
      </c>
      <c r="G155" s="392">
        <f t="shared" si="4"/>
        <v>4.49</v>
      </c>
      <c r="I155" s="392">
        <v>1.51</v>
      </c>
      <c r="J155" s="392">
        <v>145.48500000000001</v>
      </c>
      <c r="K155" s="392">
        <f t="shared" si="5"/>
        <v>145.48500000000001</v>
      </c>
    </row>
    <row r="156" spans="5:11">
      <c r="E156" s="392">
        <v>66.779999999999987</v>
      </c>
      <c r="F156" s="392">
        <v>4.4800000000000004</v>
      </c>
      <c r="G156" s="392">
        <f t="shared" si="4"/>
        <v>4.4800000000000004</v>
      </c>
      <c r="I156" s="392">
        <v>1.52</v>
      </c>
      <c r="J156" s="392">
        <v>145.22</v>
      </c>
      <c r="K156" s="392">
        <f t="shared" si="5"/>
        <v>145.22000000000003</v>
      </c>
    </row>
    <row r="157" spans="5:11">
      <c r="E157" s="392">
        <v>67.045000000000002</v>
      </c>
      <c r="F157" s="392">
        <v>4.47</v>
      </c>
      <c r="G157" s="392">
        <f t="shared" si="4"/>
        <v>4.4700000000000006</v>
      </c>
      <c r="I157" s="392">
        <v>1.53</v>
      </c>
      <c r="J157" s="392">
        <v>144.95499999999998</v>
      </c>
      <c r="K157" s="392">
        <f t="shared" si="5"/>
        <v>144.95500000000001</v>
      </c>
    </row>
    <row r="158" spans="5:11">
      <c r="E158" s="392">
        <v>67.31</v>
      </c>
      <c r="F158" s="392">
        <v>4.46</v>
      </c>
      <c r="G158" s="392">
        <f t="shared" si="4"/>
        <v>4.46</v>
      </c>
      <c r="I158" s="392">
        <v>1.54</v>
      </c>
      <c r="J158" s="392">
        <v>144.69</v>
      </c>
      <c r="K158" s="392">
        <f t="shared" si="5"/>
        <v>144.69</v>
      </c>
    </row>
    <row r="159" spans="5:11">
      <c r="E159" s="392">
        <v>67.574999999999989</v>
      </c>
      <c r="F159" s="392">
        <v>4.45</v>
      </c>
      <c r="G159" s="392">
        <f t="shared" si="4"/>
        <v>4.4500000000000011</v>
      </c>
      <c r="I159" s="392">
        <v>1.55</v>
      </c>
      <c r="J159" s="392">
        <v>144.42500000000001</v>
      </c>
      <c r="K159" s="392">
        <f t="shared" si="5"/>
        <v>144.42500000000001</v>
      </c>
    </row>
    <row r="160" spans="5:11">
      <c r="E160" s="392">
        <v>67.839999999999989</v>
      </c>
      <c r="F160" s="392">
        <v>4.4400000000000004</v>
      </c>
      <c r="G160" s="392">
        <f t="shared" si="4"/>
        <v>4.4400000000000004</v>
      </c>
      <c r="I160" s="392">
        <v>1.56</v>
      </c>
      <c r="J160" s="392">
        <v>144.16</v>
      </c>
      <c r="K160" s="392">
        <f t="shared" si="5"/>
        <v>144.16</v>
      </c>
    </row>
    <row r="161" spans="5:11">
      <c r="E161" s="392">
        <v>68.105000000000004</v>
      </c>
      <c r="F161" s="392">
        <v>4.43</v>
      </c>
      <c r="G161" s="392">
        <f t="shared" si="4"/>
        <v>4.43</v>
      </c>
      <c r="I161" s="392">
        <v>1.57</v>
      </c>
      <c r="J161" s="392">
        <v>143.89499999999998</v>
      </c>
      <c r="K161" s="392">
        <f t="shared" si="5"/>
        <v>143.89500000000001</v>
      </c>
    </row>
    <row r="162" spans="5:11">
      <c r="E162" s="392">
        <v>68.37</v>
      </c>
      <c r="F162" s="392">
        <v>4.42</v>
      </c>
      <c r="G162" s="392">
        <f t="shared" si="4"/>
        <v>4.42</v>
      </c>
      <c r="I162" s="392">
        <v>1.58</v>
      </c>
      <c r="J162" s="392">
        <v>143.63</v>
      </c>
      <c r="K162" s="392">
        <f t="shared" si="5"/>
        <v>143.63</v>
      </c>
    </row>
    <row r="163" spans="5:11">
      <c r="E163" s="392">
        <v>68.634999999999991</v>
      </c>
      <c r="F163" s="392">
        <v>4.41</v>
      </c>
      <c r="G163" s="392">
        <f t="shared" si="4"/>
        <v>4.41</v>
      </c>
      <c r="I163" s="392">
        <v>1.59</v>
      </c>
      <c r="J163" s="392">
        <v>143.36500000000001</v>
      </c>
      <c r="K163" s="392">
        <f t="shared" si="5"/>
        <v>143.36500000000001</v>
      </c>
    </row>
    <row r="164" spans="5:11">
      <c r="E164" s="392">
        <v>68.899999999999991</v>
      </c>
      <c r="F164" s="392">
        <v>4.4000000000000004</v>
      </c>
      <c r="G164" s="392">
        <f t="shared" si="4"/>
        <v>4.4000000000000004</v>
      </c>
      <c r="I164" s="392">
        <v>1.6</v>
      </c>
      <c r="J164" s="392">
        <v>143.1</v>
      </c>
      <c r="K164" s="392">
        <f t="shared" si="5"/>
        <v>143.10000000000002</v>
      </c>
    </row>
    <row r="165" spans="5:11">
      <c r="E165" s="392">
        <v>69.165000000000006</v>
      </c>
      <c r="F165" s="392">
        <v>4.3899999999999997</v>
      </c>
      <c r="G165" s="392">
        <f t="shared" si="4"/>
        <v>4.3899999999999997</v>
      </c>
      <c r="I165" s="392">
        <v>1.61</v>
      </c>
      <c r="J165" s="392">
        <v>142.83500000000001</v>
      </c>
      <c r="K165" s="392">
        <f t="shared" si="5"/>
        <v>142.83500000000001</v>
      </c>
    </row>
    <row r="166" spans="5:11">
      <c r="E166" s="392">
        <v>69.430000000000007</v>
      </c>
      <c r="F166" s="392">
        <v>4.38</v>
      </c>
      <c r="G166" s="392">
        <f t="shared" si="4"/>
        <v>4.38</v>
      </c>
      <c r="I166" s="392">
        <v>1.62</v>
      </c>
      <c r="J166" s="392">
        <v>142.57</v>
      </c>
      <c r="K166" s="392">
        <f t="shared" si="5"/>
        <v>142.57</v>
      </c>
    </row>
    <row r="167" spans="5:11">
      <c r="E167" s="392">
        <v>69.694999999999993</v>
      </c>
      <c r="F167" s="392">
        <v>4.37</v>
      </c>
      <c r="G167" s="392">
        <f t="shared" si="4"/>
        <v>4.370000000000001</v>
      </c>
      <c r="I167" s="392">
        <v>1.63</v>
      </c>
      <c r="J167" s="392">
        <v>142.30500000000001</v>
      </c>
      <c r="K167" s="392">
        <f t="shared" si="5"/>
        <v>142.30500000000001</v>
      </c>
    </row>
    <row r="168" spans="5:11">
      <c r="E168" s="392">
        <v>69.959999999999994</v>
      </c>
      <c r="F168" s="392">
        <v>4.3600000000000003</v>
      </c>
      <c r="G168" s="392">
        <f t="shared" si="4"/>
        <v>4.3600000000000003</v>
      </c>
      <c r="I168" s="392">
        <v>1.64</v>
      </c>
      <c r="J168" s="392">
        <v>142.04</v>
      </c>
      <c r="K168" s="392">
        <f t="shared" si="5"/>
        <v>142.04000000000002</v>
      </c>
    </row>
    <row r="169" spans="5:11">
      <c r="E169" s="392">
        <v>70.225000000000009</v>
      </c>
      <c r="F169" s="392">
        <v>4.3499999999999996</v>
      </c>
      <c r="G169" s="392">
        <f t="shared" si="4"/>
        <v>4.3499999999999996</v>
      </c>
      <c r="I169" s="392">
        <v>1.65</v>
      </c>
      <c r="J169" s="392">
        <v>141.77500000000001</v>
      </c>
      <c r="K169" s="392">
        <f t="shared" si="5"/>
        <v>141.77500000000001</v>
      </c>
    </row>
    <row r="170" spans="5:11">
      <c r="E170" s="392">
        <v>70.490000000000009</v>
      </c>
      <c r="F170" s="392">
        <v>4.34</v>
      </c>
      <c r="G170" s="392">
        <f t="shared" si="4"/>
        <v>4.34</v>
      </c>
      <c r="I170" s="392">
        <v>1.66</v>
      </c>
      <c r="J170" s="392">
        <v>141.51</v>
      </c>
      <c r="K170" s="392">
        <f t="shared" si="5"/>
        <v>141.51</v>
      </c>
    </row>
    <row r="171" spans="5:11">
      <c r="E171" s="392">
        <v>70.754999999999995</v>
      </c>
      <c r="F171" s="392">
        <v>4.33</v>
      </c>
      <c r="G171" s="392">
        <f t="shared" si="4"/>
        <v>4.33</v>
      </c>
      <c r="I171" s="392">
        <v>1.67</v>
      </c>
      <c r="J171" s="392">
        <v>141.245</v>
      </c>
      <c r="K171" s="392">
        <f t="shared" si="5"/>
        <v>141.245</v>
      </c>
    </row>
    <row r="172" spans="5:11">
      <c r="E172" s="392">
        <v>71.02</v>
      </c>
      <c r="F172" s="392">
        <v>4.32</v>
      </c>
      <c r="G172" s="392">
        <f t="shared" si="4"/>
        <v>4.32</v>
      </c>
      <c r="I172" s="392">
        <v>1.68</v>
      </c>
      <c r="J172" s="392">
        <v>140.98000000000002</v>
      </c>
      <c r="K172" s="392">
        <f t="shared" si="5"/>
        <v>140.98000000000002</v>
      </c>
    </row>
    <row r="173" spans="5:11">
      <c r="E173" s="392">
        <v>71.285000000000011</v>
      </c>
      <c r="F173" s="392">
        <v>4.3099999999999996</v>
      </c>
      <c r="G173" s="392">
        <f t="shared" si="4"/>
        <v>4.3099999999999996</v>
      </c>
      <c r="I173" s="392">
        <v>1.69</v>
      </c>
      <c r="J173" s="392">
        <v>140.715</v>
      </c>
      <c r="K173" s="392">
        <f t="shared" si="5"/>
        <v>140.71500000000003</v>
      </c>
    </row>
    <row r="174" spans="5:11">
      <c r="E174" s="392">
        <v>71.550000000000011</v>
      </c>
      <c r="F174" s="392">
        <v>4.3</v>
      </c>
      <c r="G174" s="392">
        <f t="shared" si="4"/>
        <v>4.3</v>
      </c>
      <c r="I174" s="392">
        <v>1.7</v>
      </c>
      <c r="J174" s="392">
        <v>140.44999999999999</v>
      </c>
      <c r="K174" s="392">
        <f t="shared" si="5"/>
        <v>140.44999999999999</v>
      </c>
    </row>
    <row r="175" spans="5:11">
      <c r="E175" s="392">
        <v>71.814999999999998</v>
      </c>
      <c r="F175" s="392">
        <v>4.29</v>
      </c>
      <c r="G175" s="392">
        <f t="shared" si="4"/>
        <v>4.29</v>
      </c>
      <c r="I175" s="392">
        <v>1.71</v>
      </c>
      <c r="J175" s="392">
        <v>140.185</v>
      </c>
      <c r="K175" s="392">
        <f t="shared" si="5"/>
        <v>140.185</v>
      </c>
    </row>
    <row r="176" spans="5:11">
      <c r="E176" s="392">
        <v>72.08</v>
      </c>
      <c r="F176" s="392">
        <v>4.28</v>
      </c>
      <c r="G176" s="392">
        <f t="shared" si="4"/>
        <v>4.28</v>
      </c>
      <c r="I176" s="392">
        <v>1.72</v>
      </c>
      <c r="J176" s="392">
        <v>139.92000000000002</v>
      </c>
      <c r="K176" s="392">
        <f t="shared" si="5"/>
        <v>139.92000000000002</v>
      </c>
    </row>
    <row r="177" spans="5:11">
      <c r="E177" s="392">
        <v>72.345000000000013</v>
      </c>
      <c r="F177" s="392">
        <v>4.2699999999999996</v>
      </c>
      <c r="G177" s="392">
        <f t="shared" si="4"/>
        <v>4.2699999999999996</v>
      </c>
      <c r="I177" s="392">
        <v>1.73</v>
      </c>
      <c r="J177" s="392">
        <v>139.655</v>
      </c>
      <c r="K177" s="392">
        <f t="shared" si="5"/>
        <v>139.655</v>
      </c>
    </row>
    <row r="178" spans="5:11">
      <c r="E178" s="392">
        <v>72.61</v>
      </c>
      <c r="F178" s="392">
        <v>4.26</v>
      </c>
      <c r="G178" s="392">
        <f t="shared" si="4"/>
        <v>4.26</v>
      </c>
      <c r="I178" s="392">
        <v>1.74</v>
      </c>
      <c r="J178" s="392">
        <v>139.38999999999999</v>
      </c>
      <c r="K178" s="392">
        <f t="shared" si="5"/>
        <v>139.38999999999999</v>
      </c>
    </row>
    <row r="179" spans="5:11">
      <c r="E179" s="392">
        <v>72.875</v>
      </c>
      <c r="F179" s="392">
        <v>4.25</v>
      </c>
      <c r="G179" s="392">
        <f t="shared" si="4"/>
        <v>4.25</v>
      </c>
      <c r="I179" s="392">
        <v>1.75</v>
      </c>
      <c r="J179" s="392">
        <v>139.125</v>
      </c>
      <c r="K179" s="392">
        <f t="shared" si="5"/>
        <v>139.125</v>
      </c>
    </row>
    <row r="180" spans="5:11">
      <c r="E180" s="392">
        <v>73.14</v>
      </c>
      <c r="F180" s="392">
        <v>4.24</v>
      </c>
      <c r="G180" s="392">
        <f t="shared" si="4"/>
        <v>4.24</v>
      </c>
      <c r="I180" s="392">
        <v>1.76</v>
      </c>
      <c r="J180" s="392">
        <v>138.86000000000001</v>
      </c>
      <c r="K180" s="392">
        <f t="shared" si="5"/>
        <v>138.86000000000001</v>
      </c>
    </row>
    <row r="181" spans="5:11">
      <c r="E181" s="392">
        <v>73.404999999999987</v>
      </c>
      <c r="F181" s="392">
        <v>4.2300000000000004</v>
      </c>
      <c r="G181" s="392">
        <f t="shared" si="4"/>
        <v>4.2300000000000004</v>
      </c>
      <c r="I181" s="392">
        <v>1.77</v>
      </c>
      <c r="J181" s="392">
        <v>138.595</v>
      </c>
      <c r="K181" s="392">
        <f t="shared" si="5"/>
        <v>138.59500000000003</v>
      </c>
    </row>
    <row r="182" spans="5:11">
      <c r="E182" s="392">
        <v>73.67</v>
      </c>
      <c r="F182" s="392">
        <v>4.22</v>
      </c>
      <c r="G182" s="392">
        <f t="shared" si="4"/>
        <v>4.2200000000000006</v>
      </c>
      <c r="I182" s="392">
        <v>1.78</v>
      </c>
      <c r="J182" s="392">
        <v>138.32999999999998</v>
      </c>
      <c r="K182" s="392">
        <f t="shared" si="5"/>
        <v>138.33000000000001</v>
      </c>
    </row>
    <row r="183" spans="5:11">
      <c r="E183" s="392">
        <v>73.935000000000002</v>
      </c>
      <c r="F183" s="392">
        <v>4.21</v>
      </c>
      <c r="G183" s="392">
        <f t="shared" si="4"/>
        <v>4.21</v>
      </c>
      <c r="I183" s="392">
        <v>1.79</v>
      </c>
      <c r="J183" s="392">
        <v>138.065</v>
      </c>
      <c r="K183" s="392">
        <f t="shared" si="5"/>
        <v>138.065</v>
      </c>
    </row>
    <row r="184" spans="5:11">
      <c r="E184" s="392">
        <v>74.199999999999989</v>
      </c>
      <c r="F184" s="392">
        <v>4.2</v>
      </c>
      <c r="G184" s="392">
        <f t="shared" si="4"/>
        <v>4.2000000000000011</v>
      </c>
      <c r="I184" s="392">
        <v>1.8</v>
      </c>
      <c r="J184" s="392">
        <v>137.80000000000001</v>
      </c>
      <c r="K184" s="392">
        <f t="shared" si="5"/>
        <v>137.80000000000001</v>
      </c>
    </row>
    <row r="185" spans="5:11">
      <c r="E185" s="392">
        <v>74.464999999999989</v>
      </c>
      <c r="F185" s="392">
        <v>4.1900000000000004</v>
      </c>
      <c r="G185" s="392">
        <f t="shared" si="4"/>
        <v>4.1900000000000004</v>
      </c>
      <c r="I185" s="392">
        <v>1.81</v>
      </c>
      <c r="J185" s="392">
        <v>137.535</v>
      </c>
      <c r="K185" s="392">
        <f t="shared" si="5"/>
        <v>137.535</v>
      </c>
    </row>
    <row r="186" spans="5:11">
      <c r="E186" s="392">
        <v>74.73</v>
      </c>
      <c r="F186" s="392">
        <v>4.18</v>
      </c>
      <c r="G186" s="392">
        <f t="shared" si="4"/>
        <v>4.18</v>
      </c>
      <c r="I186" s="392">
        <v>1.82</v>
      </c>
      <c r="J186" s="392">
        <v>137.26999999999998</v>
      </c>
      <c r="K186" s="392">
        <f t="shared" si="5"/>
        <v>137.27000000000001</v>
      </c>
    </row>
    <row r="187" spans="5:11">
      <c r="E187" s="392">
        <v>74.995000000000005</v>
      </c>
      <c r="F187" s="392">
        <v>4.17</v>
      </c>
      <c r="G187" s="392">
        <f t="shared" si="4"/>
        <v>4.17</v>
      </c>
      <c r="I187" s="392">
        <v>1.83</v>
      </c>
      <c r="J187" s="392">
        <v>137.005</v>
      </c>
      <c r="K187" s="392">
        <f t="shared" si="5"/>
        <v>137.005</v>
      </c>
    </row>
    <row r="188" spans="5:11">
      <c r="E188" s="392">
        <v>75.259999999999991</v>
      </c>
      <c r="F188" s="392">
        <v>4.16</v>
      </c>
      <c r="G188" s="392">
        <f t="shared" si="4"/>
        <v>4.16</v>
      </c>
      <c r="I188" s="392">
        <v>1.84</v>
      </c>
      <c r="J188" s="392">
        <v>136.74</v>
      </c>
      <c r="K188" s="392">
        <f t="shared" si="5"/>
        <v>136.74</v>
      </c>
    </row>
    <row r="189" spans="5:11">
      <c r="E189" s="392">
        <v>75.524999999999991</v>
      </c>
      <c r="F189" s="392">
        <v>4.1500000000000004</v>
      </c>
      <c r="G189" s="392">
        <f t="shared" si="4"/>
        <v>4.1500000000000004</v>
      </c>
      <c r="I189" s="392">
        <v>1.85</v>
      </c>
      <c r="J189" s="392">
        <v>136.47499999999999</v>
      </c>
      <c r="K189" s="392">
        <f t="shared" si="5"/>
        <v>136.47500000000002</v>
      </c>
    </row>
    <row r="190" spans="5:11">
      <c r="E190" s="392">
        <v>75.790000000000006</v>
      </c>
      <c r="F190" s="392">
        <v>4.1399999999999997</v>
      </c>
      <c r="G190" s="392">
        <f t="shared" si="4"/>
        <v>4.1399999999999997</v>
      </c>
      <c r="I190" s="392">
        <v>1.86</v>
      </c>
      <c r="J190" s="392">
        <v>136.21</v>
      </c>
      <c r="K190" s="392">
        <f t="shared" si="5"/>
        <v>136.21</v>
      </c>
    </row>
    <row r="191" spans="5:11">
      <c r="E191" s="392">
        <v>76.055000000000007</v>
      </c>
      <c r="F191" s="392">
        <v>4.13</v>
      </c>
      <c r="G191" s="392">
        <f t="shared" si="4"/>
        <v>4.13</v>
      </c>
      <c r="I191" s="392">
        <v>1.87</v>
      </c>
      <c r="J191" s="392">
        <v>135.94499999999999</v>
      </c>
      <c r="K191" s="392">
        <f t="shared" si="5"/>
        <v>135.94499999999999</v>
      </c>
    </row>
    <row r="192" spans="5:11">
      <c r="E192" s="392">
        <v>76.319999999999993</v>
      </c>
      <c r="F192" s="392">
        <v>4.12</v>
      </c>
      <c r="G192" s="392">
        <f t="shared" si="4"/>
        <v>4.120000000000001</v>
      </c>
      <c r="I192" s="392">
        <v>1.88</v>
      </c>
      <c r="J192" s="392">
        <v>135.68</v>
      </c>
      <c r="K192" s="392">
        <f t="shared" si="5"/>
        <v>135.68</v>
      </c>
    </row>
    <row r="193" spans="5:11">
      <c r="E193" s="392">
        <v>76.584999999999994</v>
      </c>
      <c r="F193" s="392">
        <v>4.1100000000000003</v>
      </c>
      <c r="G193" s="392">
        <f t="shared" si="4"/>
        <v>4.1100000000000003</v>
      </c>
      <c r="I193" s="392">
        <v>1.89</v>
      </c>
      <c r="J193" s="392">
        <v>135.41499999999999</v>
      </c>
      <c r="K193" s="392">
        <f t="shared" si="5"/>
        <v>135.41500000000002</v>
      </c>
    </row>
    <row r="194" spans="5:11">
      <c r="E194" s="392">
        <v>76.850000000000009</v>
      </c>
      <c r="F194" s="392">
        <v>4.0999999999999996</v>
      </c>
      <c r="G194" s="392">
        <f t="shared" si="4"/>
        <v>4.0999999999999996</v>
      </c>
      <c r="I194" s="392">
        <v>1.9</v>
      </c>
      <c r="J194" s="392">
        <v>135.15</v>
      </c>
      <c r="K194" s="392">
        <f t="shared" si="5"/>
        <v>135.15</v>
      </c>
    </row>
    <row r="195" spans="5:11">
      <c r="E195" s="392">
        <v>77.115000000000009</v>
      </c>
      <c r="F195" s="392">
        <v>4.09</v>
      </c>
      <c r="G195" s="392">
        <f t="shared" si="4"/>
        <v>4.09</v>
      </c>
      <c r="I195" s="392">
        <v>1.91</v>
      </c>
      <c r="J195" s="392">
        <v>134.88499999999999</v>
      </c>
      <c r="K195" s="392">
        <f t="shared" si="5"/>
        <v>134.88499999999999</v>
      </c>
    </row>
    <row r="196" spans="5:11">
      <c r="E196" s="392">
        <v>77.38</v>
      </c>
      <c r="F196" s="392">
        <v>4.08</v>
      </c>
      <c r="G196" s="392">
        <f t="shared" si="4"/>
        <v>4.08</v>
      </c>
      <c r="I196" s="392">
        <v>1.92</v>
      </c>
      <c r="J196" s="392">
        <v>134.62</v>
      </c>
      <c r="K196" s="392">
        <f t="shared" si="5"/>
        <v>134.62</v>
      </c>
    </row>
    <row r="197" spans="5:11">
      <c r="E197" s="392">
        <v>77.644999999999996</v>
      </c>
      <c r="F197" s="392">
        <v>4.07</v>
      </c>
      <c r="G197" s="392">
        <f t="shared" ref="G197:G260" si="6">E197*(-6/159)+7</f>
        <v>4.07</v>
      </c>
      <c r="I197" s="392">
        <v>1.93</v>
      </c>
      <c r="J197" s="392">
        <v>134.35500000000002</v>
      </c>
      <c r="K197" s="392">
        <f t="shared" ref="K197:K260" si="7">(I197-7)/(-6/159)</f>
        <v>134.35500000000002</v>
      </c>
    </row>
    <row r="198" spans="5:11">
      <c r="E198" s="392">
        <v>77.910000000000011</v>
      </c>
      <c r="F198" s="392">
        <v>4.0599999999999996</v>
      </c>
      <c r="G198" s="392">
        <f t="shared" si="6"/>
        <v>4.0599999999999996</v>
      </c>
      <c r="I198" s="392">
        <v>1.94</v>
      </c>
      <c r="J198" s="392">
        <v>134.09</v>
      </c>
      <c r="K198" s="392">
        <f t="shared" si="7"/>
        <v>134.09000000000003</v>
      </c>
    </row>
    <row r="199" spans="5:11">
      <c r="E199" s="392">
        <v>78.175000000000011</v>
      </c>
      <c r="F199" s="392">
        <v>4.05</v>
      </c>
      <c r="G199" s="392">
        <f t="shared" si="6"/>
        <v>4.05</v>
      </c>
      <c r="I199" s="392">
        <v>1.95</v>
      </c>
      <c r="J199" s="392">
        <v>133.82499999999999</v>
      </c>
      <c r="K199" s="392">
        <f t="shared" si="7"/>
        <v>133.82499999999999</v>
      </c>
    </row>
    <row r="200" spans="5:11">
      <c r="E200" s="392">
        <v>78.44</v>
      </c>
      <c r="F200" s="392">
        <v>4.04</v>
      </c>
      <c r="G200" s="392">
        <f t="shared" si="6"/>
        <v>4.04</v>
      </c>
      <c r="I200" s="392">
        <v>1.96</v>
      </c>
      <c r="J200" s="392">
        <v>133.56</v>
      </c>
      <c r="K200" s="392">
        <f t="shared" si="7"/>
        <v>133.56</v>
      </c>
    </row>
    <row r="201" spans="5:11">
      <c r="E201" s="392">
        <v>78.704999999999998</v>
      </c>
      <c r="F201" s="392">
        <v>4.03</v>
      </c>
      <c r="G201" s="392">
        <f t="shared" si="6"/>
        <v>4.03</v>
      </c>
      <c r="I201" s="392">
        <v>1.97</v>
      </c>
      <c r="J201" s="392">
        <v>133.29500000000002</v>
      </c>
      <c r="K201" s="392">
        <f t="shared" si="7"/>
        <v>133.29500000000002</v>
      </c>
    </row>
    <row r="202" spans="5:11">
      <c r="E202" s="392">
        <v>78.970000000000013</v>
      </c>
      <c r="F202" s="392">
        <v>4.0199999999999996</v>
      </c>
      <c r="G202" s="392">
        <f t="shared" si="6"/>
        <v>4.0199999999999996</v>
      </c>
      <c r="I202" s="392">
        <v>1.98</v>
      </c>
      <c r="J202" s="392">
        <v>133.03</v>
      </c>
      <c r="K202" s="392">
        <f t="shared" si="7"/>
        <v>133.03</v>
      </c>
    </row>
    <row r="203" spans="5:11">
      <c r="E203" s="392">
        <v>79.234999999999999</v>
      </c>
      <c r="F203" s="392">
        <v>4.01</v>
      </c>
      <c r="G203" s="392">
        <f t="shared" si="6"/>
        <v>4.01</v>
      </c>
      <c r="I203" s="392">
        <v>1.99</v>
      </c>
      <c r="J203" s="392">
        <v>132.76499999999999</v>
      </c>
      <c r="K203" s="392">
        <f t="shared" si="7"/>
        <v>132.76499999999999</v>
      </c>
    </row>
    <row r="204" spans="5:11">
      <c r="E204" s="392">
        <v>79.5</v>
      </c>
      <c r="F204" s="392">
        <v>4</v>
      </c>
      <c r="G204" s="392">
        <f t="shared" si="6"/>
        <v>4</v>
      </c>
      <c r="I204" s="392">
        <v>2</v>
      </c>
      <c r="J204" s="392">
        <v>132.5</v>
      </c>
      <c r="K204" s="392">
        <f t="shared" si="7"/>
        <v>132.5</v>
      </c>
    </row>
    <row r="205" spans="5:11">
      <c r="E205" s="392">
        <v>79.765000000000001</v>
      </c>
      <c r="F205" s="392">
        <v>3.99</v>
      </c>
      <c r="G205" s="392">
        <f t="shared" si="6"/>
        <v>3.99</v>
      </c>
      <c r="I205" s="392">
        <v>2.0099999999999998</v>
      </c>
      <c r="J205" s="392">
        <v>132.23500000000001</v>
      </c>
      <c r="K205" s="392">
        <f t="shared" si="7"/>
        <v>132.23500000000001</v>
      </c>
    </row>
    <row r="206" spans="5:11">
      <c r="E206" s="392">
        <v>80.03</v>
      </c>
      <c r="F206" s="392">
        <v>3.98</v>
      </c>
      <c r="G206" s="392">
        <f t="shared" si="6"/>
        <v>3.98</v>
      </c>
      <c r="I206" s="392">
        <v>2.02</v>
      </c>
      <c r="J206" s="392">
        <v>131.97</v>
      </c>
      <c r="K206" s="392">
        <f t="shared" si="7"/>
        <v>131.97000000000003</v>
      </c>
    </row>
    <row r="207" spans="5:11">
      <c r="E207" s="392">
        <v>80.295000000000002</v>
      </c>
      <c r="F207" s="392">
        <v>3.97</v>
      </c>
      <c r="G207" s="392">
        <f t="shared" si="6"/>
        <v>3.97</v>
      </c>
      <c r="I207" s="392">
        <v>2.0299999999999998</v>
      </c>
      <c r="J207" s="392">
        <v>131.70500000000001</v>
      </c>
      <c r="K207" s="392">
        <f t="shared" si="7"/>
        <v>131.70500000000001</v>
      </c>
    </row>
    <row r="208" spans="5:11">
      <c r="E208" s="392">
        <v>80.56</v>
      </c>
      <c r="F208" s="392">
        <v>3.96</v>
      </c>
      <c r="G208" s="392">
        <f t="shared" si="6"/>
        <v>3.96</v>
      </c>
      <c r="I208" s="392">
        <v>2.04</v>
      </c>
      <c r="J208" s="392">
        <v>131.44</v>
      </c>
      <c r="K208" s="392">
        <f t="shared" si="7"/>
        <v>131.44</v>
      </c>
    </row>
    <row r="209" spans="5:11">
      <c r="E209" s="392">
        <v>80.824999999999989</v>
      </c>
      <c r="F209" s="392">
        <v>3.95</v>
      </c>
      <c r="G209" s="392">
        <f t="shared" si="6"/>
        <v>3.9500000000000006</v>
      </c>
      <c r="I209" s="392">
        <v>2.0499999999999998</v>
      </c>
      <c r="J209" s="392">
        <v>131.17500000000001</v>
      </c>
      <c r="K209" s="392">
        <f t="shared" si="7"/>
        <v>131.17500000000001</v>
      </c>
    </row>
    <row r="210" spans="5:11">
      <c r="E210" s="392">
        <v>81.09</v>
      </c>
      <c r="F210" s="392">
        <v>3.94</v>
      </c>
      <c r="G210" s="392">
        <f t="shared" si="6"/>
        <v>3.94</v>
      </c>
      <c r="I210" s="392">
        <v>2.06</v>
      </c>
      <c r="J210" s="392">
        <v>130.91</v>
      </c>
      <c r="K210" s="392">
        <f t="shared" si="7"/>
        <v>130.91</v>
      </c>
    </row>
    <row r="211" spans="5:11">
      <c r="E211" s="392">
        <v>81.35499999999999</v>
      </c>
      <c r="F211" s="392">
        <v>3.93</v>
      </c>
      <c r="G211" s="392">
        <f t="shared" si="6"/>
        <v>3.9300000000000006</v>
      </c>
      <c r="I211" s="392">
        <v>2.0699999999999998</v>
      </c>
      <c r="J211" s="392">
        <v>130.64500000000001</v>
      </c>
      <c r="K211" s="392">
        <f t="shared" si="7"/>
        <v>130.64500000000001</v>
      </c>
    </row>
    <row r="212" spans="5:11">
      <c r="E212" s="392">
        <v>81.62</v>
      </c>
      <c r="F212" s="392">
        <v>3.92</v>
      </c>
      <c r="G212" s="392">
        <f t="shared" si="6"/>
        <v>3.92</v>
      </c>
      <c r="I212" s="392">
        <v>2.08</v>
      </c>
      <c r="J212" s="392">
        <v>130.38</v>
      </c>
      <c r="K212" s="392">
        <f t="shared" si="7"/>
        <v>130.38</v>
      </c>
    </row>
    <row r="213" spans="5:11">
      <c r="E213" s="392">
        <v>81.884999999999991</v>
      </c>
      <c r="F213" s="392">
        <v>3.91</v>
      </c>
      <c r="G213" s="392">
        <f t="shared" si="6"/>
        <v>3.9100000000000006</v>
      </c>
      <c r="I213" s="392">
        <v>2.09</v>
      </c>
      <c r="J213" s="392">
        <v>130.11500000000001</v>
      </c>
      <c r="K213" s="392">
        <f t="shared" si="7"/>
        <v>130.11500000000001</v>
      </c>
    </row>
    <row r="214" spans="5:11">
      <c r="E214" s="392">
        <v>82.15</v>
      </c>
      <c r="F214" s="392">
        <v>3.9</v>
      </c>
      <c r="G214" s="392">
        <f t="shared" si="6"/>
        <v>3.9</v>
      </c>
      <c r="I214" s="392">
        <v>2.1</v>
      </c>
      <c r="J214" s="392">
        <v>129.85</v>
      </c>
      <c r="K214" s="392">
        <f t="shared" si="7"/>
        <v>129.85000000000002</v>
      </c>
    </row>
    <row r="215" spans="5:11">
      <c r="E215" s="392">
        <v>82.414999999999992</v>
      </c>
      <c r="F215" s="392">
        <v>3.89</v>
      </c>
      <c r="G215" s="392">
        <f t="shared" si="6"/>
        <v>3.8900000000000006</v>
      </c>
      <c r="I215" s="392">
        <v>2.11</v>
      </c>
      <c r="J215" s="392">
        <v>129.58500000000001</v>
      </c>
      <c r="K215" s="392">
        <f t="shared" si="7"/>
        <v>129.58500000000001</v>
      </c>
    </row>
    <row r="216" spans="5:11">
      <c r="E216" s="392">
        <v>82.68</v>
      </c>
      <c r="F216" s="392">
        <v>3.88</v>
      </c>
      <c r="G216" s="392">
        <f t="shared" si="6"/>
        <v>3.88</v>
      </c>
      <c r="I216" s="392">
        <v>2.12</v>
      </c>
      <c r="J216" s="392">
        <v>129.32</v>
      </c>
      <c r="K216" s="392">
        <f t="shared" si="7"/>
        <v>129.32</v>
      </c>
    </row>
    <row r="217" spans="5:11">
      <c r="E217" s="392">
        <v>82.944999999999993</v>
      </c>
      <c r="F217" s="392">
        <v>3.87</v>
      </c>
      <c r="G217" s="392">
        <f t="shared" si="6"/>
        <v>3.8700000000000006</v>
      </c>
      <c r="I217" s="392">
        <v>2.13</v>
      </c>
      <c r="J217" s="392">
        <v>129.05500000000001</v>
      </c>
      <c r="K217" s="392">
        <f t="shared" si="7"/>
        <v>129.05500000000001</v>
      </c>
    </row>
    <row r="218" spans="5:11">
      <c r="E218" s="392">
        <v>83.210000000000008</v>
      </c>
      <c r="F218" s="392">
        <v>3.86</v>
      </c>
      <c r="G218" s="392">
        <f t="shared" si="6"/>
        <v>3.86</v>
      </c>
      <c r="I218" s="392">
        <v>2.14</v>
      </c>
      <c r="J218" s="392">
        <v>128.79</v>
      </c>
      <c r="K218" s="392">
        <f t="shared" si="7"/>
        <v>128.79</v>
      </c>
    </row>
    <row r="219" spans="5:11">
      <c r="E219" s="392">
        <v>83.474999999999994</v>
      </c>
      <c r="F219" s="392">
        <v>3.85</v>
      </c>
      <c r="G219" s="392">
        <f t="shared" si="6"/>
        <v>3.8500000000000005</v>
      </c>
      <c r="I219" s="392">
        <v>2.15</v>
      </c>
      <c r="J219" s="392">
        <v>128.52500000000001</v>
      </c>
      <c r="K219" s="392">
        <f t="shared" si="7"/>
        <v>128.52500000000001</v>
      </c>
    </row>
    <row r="220" spans="5:11">
      <c r="E220" s="392">
        <v>83.740000000000009</v>
      </c>
      <c r="F220" s="392">
        <v>3.84</v>
      </c>
      <c r="G220" s="392">
        <f t="shared" si="6"/>
        <v>3.84</v>
      </c>
      <c r="I220" s="392">
        <v>2.16</v>
      </c>
      <c r="J220" s="392">
        <v>128.26</v>
      </c>
      <c r="K220" s="392">
        <f t="shared" si="7"/>
        <v>128.26</v>
      </c>
    </row>
    <row r="221" spans="5:11">
      <c r="E221" s="392">
        <v>84.004999999999995</v>
      </c>
      <c r="F221" s="392">
        <v>3.83</v>
      </c>
      <c r="G221" s="392">
        <f t="shared" si="6"/>
        <v>3.83</v>
      </c>
      <c r="I221" s="392">
        <v>2.17</v>
      </c>
      <c r="J221" s="392">
        <v>127.995</v>
      </c>
      <c r="K221" s="392">
        <f t="shared" si="7"/>
        <v>127.995</v>
      </c>
    </row>
    <row r="222" spans="5:11">
      <c r="E222" s="392">
        <v>84.27000000000001</v>
      </c>
      <c r="F222" s="392">
        <v>3.82</v>
      </c>
      <c r="G222" s="392">
        <f t="shared" si="6"/>
        <v>3.82</v>
      </c>
      <c r="I222" s="392">
        <v>2.1800000000000002</v>
      </c>
      <c r="J222" s="392">
        <v>127.72999999999999</v>
      </c>
      <c r="K222" s="392">
        <f t="shared" si="7"/>
        <v>127.73000000000002</v>
      </c>
    </row>
    <row r="223" spans="5:11">
      <c r="E223" s="392">
        <v>84.534999999999997</v>
      </c>
      <c r="F223" s="392">
        <v>3.81</v>
      </c>
      <c r="G223" s="392">
        <f t="shared" si="6"/>
        <v>3.81</v>
      </c>
      <c r="I223" s="392">
        <v>2.19</v>
      </c>
      <c r="J223" s="392">
        <v>127.465</v>
      </c>
      <c r="K223" s="392">
        <f t="shared" si="7"/>
        <v>127.46500000000002</v>
      </c>
    </row>
    <row r="224" spans="5:11">
      <c r="E224" s="392">
        <v>84.800000000000011</v>
      </c>
      <c r="F224" s="392">
        <v>3.8</v>
      </c>
      <c r="G224" s="392">
        <f t="shared" si="6"/>
        <v>3.8</v>
      </c>
      <c r="I224" s="392">
        <v>2.2000000000000002</v>
      </c>
      <c r="J224" s="392">
        <v>127.19999999999999</v>
      </c>
      <c r="K224" s="392">
        <f t="shared" si="7"/>
        <v>127.2</v>
      </c>
    </row>
    <row r="225" spans="5:11">
      <c r="E225" s="392">
        <v>85.064999999999998</v>
      </c>
      <c r="F225" s="392">
        <v>3.79</v>
      </c>
      <c r="G225" s="392">
        <f t="shared" si="6"/>
        <v>3.79</v>
      </c>
      <c r="I225" s="392">
        <v>2.21</v>
      </c>
      <c r="J225" s="392">
        <v>126.935</v>
      </c>
      <c r="K225" s="392">
        <f t="shared" si="7"/>
        <v>126.935</v>
      </c>
    </row>
    <row r="226" spans="5:11">
      <c r="E226" s="392">
        <v>85.33</v>
      </c>
      <c r="F226" s="392">
        <v>3.78</v>
      </c>
      <c r="G226" s="392">
        <f t="shared" si="6"/>
        <v>3.7800000000000002</v>
      </c>
      <c r="I226" s="392">
        <v>2.2200000000000002</v>
      </c>
      <c r="J226" s="392">
        <v>126.66999999999999</v>
      </c>
      <c r="K226" s="392">
        <f t="shared" si="7"/>
        <v>126.66999999999999</v>
      </c>
    </row>
    <row r="227" spans="5:11">
      <c r="E227" s="392">
        <v>85.594999999999999</v>
      </c>
      <c r="F227" s="392">
        <v>3.77</v>
      </c>
      <c r="G227" s="392">
        <f t="shared" si="6"/>
        <v>3.77</v>
      </c>
      <c r="I227" s="392">
        <v>2.23</v>
      </c>
      <c r="J227" s="392">
        <v>126.405</v>
      </c>
      <c r="K227" s="392">
        <f t="shared" si="7"/>
        <v>126.40499999999999</v>
      </c>
    </row>
    <row r="228" spans="5:11">
      <c r="E228" s="392">
        <v>85.86</v>
      </c>
      <c r="F228" s="392">
        <v>3.76</v>
      </c>
      <c r="G228" s="392">
        <f t="shared" si="6"/>
        <v>3.7600000000000002</v>
      </c>
      <c r="I228" s="392">
        <v>2.2400000000000002</v>
      </c>
      <c r="J228" s="392">
        <v>126.13999999999999</v>
      </c>
      <c r="K228" s="392">
        <f t="shared" si="7"/>
        <v>126.14</v>
      </c>
    </row>
    <row r="229" spans="5:11">
      <c r="E229" s="392">
        <v>86.125</v>
      </c>
      <c r="F229" s="392">
        <v>3.75</v>
      </c>
      <c r="G229" s="392">
        <f t="shared" si="6"/>
        <v>3.75</v>
      </c>
      <c r="I229" s="392">
        <v>2.25</v>
      </c>
      <c r="J229" s="392">
        <v>125.875</v>
      </c>
      <c r="K229" s="392">
        <f t="shared" si="7"/>
        <v>125.875</v>
      </c>
    </row>
    <row r="230" spans="5:11">
      <c r="E230" s="392">
        <v>86.39</v>
      </c>
      <c r="F230" s="392">
        <v>3.74</v>
      </c>
      <c r="G230" s="392">
        <f t="shared" si="6"/>
        <v>3.74</v>
      </c>
      <c r="I230" s="392">
        <v>2.2599999999999998</v>
      </c>
      <c r="J230" s="392">
        <v>125.61000000000001</v>
      </c>
      <c r="K230" s="392">
        <f t="shared" si="7"/>
        <v>125.61000000000001</v>
      </c>
    </row>
    <row r="231" spans="5:11">
      <c r="E231" s="392">
        <v>86.655000000000001</v>
      </c>
      <c r="F231" s="392">
        <v>3.73</v>
      </c>
      <c r="G231" s="392">
        <f t="shared" si="6"/>
        <v>3.73</v>
      </c>
      <c r="I231" s="392">
        <v>2.27</v>
      </c>
      <c r="J231" s="392">
        <v>125.345</v>
      </c>
      <c r="K231" s="392">
        <f t="shared" si="7"/>
        <v>125.34500000000001</v>
      </c>
    </row>
    <row r="232" spans="5:11">
      <c r="E232" s="392">
        <v>86.92</v>
      </c>
      <c r="F232" s="392">
        <v>3.72</v>
      </c>
      <c r="G232" s="392">
        <f t="shared" si="6"/>
        <v>3.72</v>
      </c>
      <c r="I232" s="392">
        <v>2.2799999999999998</v>
      </c>
      <c r="J232" s="392">
        <v>125.08000000000001</v>
      </c>
      <c r="K232" s="392">
        <f t="shared" si="7"/>
        <v>125.08000000000003</v>
      </c>
    </row>
    <row r="233" spans="5:11">
      <c r="E233" s="392">
        <v>87.185000000000002</v>
      </c>
      <c r="F233" s="392">
        <v>3.71</v>
      </c>
      <c r="G233" s="392">
        <f t="shared" si="6"/>
        <v>3.71</v>
      </c>
      <c r="I233" s="392">
        <v>2.29</v>
      </c>
      <c r="J233" s="392">
        <v>124.815</v>
      </c>
      <c r="K233" s="392">
        <f t="shared" si="7"/>
        <v>124.815</v>
      </c>
    </row>
    <row r="234" spans="5:11">
      <c r="E234" s="392">
        <v>87.449999999999989</v>
      </c>
      <c r="F234" s="392">
        <v>3.7</v>
      </c>
      <c r="G234" s="392">
        <f t="shared" si="6"/>
        <v>3.7000000000000006</v>
      </c>
      <c r="I234" s="392">
        <v>2.2999999999999998</v>
      </c>
      <c r="J234" s="392">
        <v>124.55000000000001</v>
      </c>
      <c r="K234" s="392">
        <f t="shared" si="7"/>
        <v>124.55000000000001</v>
      </c>
    </row>
    <row r="235" spans="5:11">
      <c r="E235" s="392">
        <v>87.715000000000003</v>
      </c>
      <c r="F235" s="392">
        <v>3.69</v>
      </c>
      <c r="G235" s="392">
        <f t="shared" si="6"/>
        <v>3.69</v>
      </c>
      <c r="I235" s="392">
        <v>2.31</v>
      </c>
      <c r="J235" s="392">
        <v>124.285</v>
      </c>
      <c r="K235" s="392">
        <f t="shared" si="7"/>
        <v>124.285</v>
      </c>
    </row>
    <row r="236" spans="5:11">
      <c r="E236" s="392">
        <v>87.97999999999999</v>
      </c>
      <c r="F236" s="392">
        <v>3.68</v>
      </c>
      <c r="G236" s="392">
        <f t="shared" si="6"/>
        <v>3.6800000000000006</v>
      </c>
      <c r="I236" s="392">
        <v>2.3199999999999998</v>
      </c>
      <c r="J236" s="392">
        <v>124.02000000000001</v>
      </c>
      <c r="K236" s="392">
        <f t="shared" si="7"/>
        <v>124.02</v>
      </c>
    </row>
    <row r="237" spans="5:11">
      <c r="E237" s="392">
        <v>88.245000000000005</v>
      </c>
      <c r="F237" s="392">
        <v>3.67</v>
      </c>
      <c r="G237" s="392">
        <f t="shared" si="6"/>
        <v>3.67</v>
      </c>
      <c r="I237" s="392">
        <v>2.33</v>
      </c>
      <c r="J237" s="392">
        <v>123.755</v>
      </c>
      <c r="K237" s="392">
        <f t="shared" si="7"/>
        <v>123.75500000000001</v>
      </c>
    </row>
    <row r="238" spans="5:11">
      <c r="E238" s="392">
        <v>88.509999999999991</v>
      </c>
      <c r="F238" s="392">
        <v>3.66</v>
      </c>
      <c r="G238" s="392">
        <f t="shared" si="6"/>
        <v>3.6600000000000006</v>
      </c>
      <c r="I238" s="392">
        <v>2.34</v>
      </c>
      <c r="J238" s="392">
        <v>123.49000000000001</v>
      </c>
      <c r="K238" s="392">
        <f t="shared" si="7"/>
        <v>123.49000000000001</v>
      </c>
    </row>
    <row r="239" spans="5:11">
      <c r="E239" s="392">
        <v>88.775000000000006</v>
      </c>
      <c r="F239" s="392">
        <v>3.65</v>
      </c>
      <c r="G239" s="392">
        <f t="shared" si="6"/>
        <v>3.65</v>
      </c>
      <c r="I239" s="392">
        <v>2.35</v>
      </c>
      <c r="J239" s="392">
        <v>123.22499999999999</v>
      </c>
      <c r="K239" s="392">
        <f t="shared" si="7"/>
        <v>123.22500000000001</v>
      </c>
    </row>
    <row r="240" spans="5:11">
      <c r="E240" s="392">
        <v>89.039999999999992</v>
      </c>
      <c r="F240" s="392">
        <v>3.64</v>
      </c>
      <c r="G240" s="392">
        <f t="shared" si="6"/>
        <v>3.6400000000000006</v>
      </c>
      <c r="I240" s="392">
        <v>2.36</v>
      </c>
      <c r="J240" s="392">
        <v>122.96000000000001</v>
      </c>
      <c r="K240" s="392">
        <f t="shared" si="7"/>
        <v>122.96000000000002</v>
      </c>
    </row>
    <row r="241" spans="5:11">
      <c r="E241" s="392">
        <v>89.305000000000007</v>
      </c>
      <c r="F241" s="392">
        <v>3.63</v>
      </c>
      <c r="G241" s="392">
        <f t="shared" si="6"/>
        <v>3.63</v>
      </c>
      <c r="I241" s="392">
        <v>2.37</v>
      </c>
      <c r="J241" s="392">
        <v>122.69499999999999</v>
      </c>
      <c r="K241" s="392">
        <f t="shared" si="7"/>
        <v>122.69500000000001</v>
      </c>
    </row>
    <row r="242" spans="5:11">
      <c r="E242" s="392">
        <v>89.57</v>
      </c>
      <c r="F242" s="392">
        <v>3.62</v>
      </c>
      <c r="G242" s="392">
        <f t="shared" si="6"/>
        <v>3.6200000000000006</v>
      </c>
      <c r="I242" s="392">
        <v>2.38</v>
      </c>
      <c r="J242" s="392">
        <v>122.43</v>
      </c>
      <c r="K242" s="392">
        <f t="shared" si="7"/>
        <v>122.43</v>
      </c>
    </row>
    <row r="243" spans="5:11">
      <c r="E243" s="392">
        <v>89.835000000000008</v>
      </c>
      <c r="F243" s="392">
        <v>3.61</v>
      </c>
      <c r="G243" s="392">
        <f t="shared" si="6"/>
        <v>3.61</v>
      </c>
      <c r="I243" s="392">
        <v>2.39</v>
      </c>
      <c r="J243" s="392">
        <v>122.16499999999999</v>
      </c>
      <c r="K243" s="392">
        <f t="shared" si="7"/>
        <v>122.16499999999999</v>
      </c>
    </row>
    <row r="244" spans="5:11">
      <c r="E244" s="392">
        <v>90.1</v>
      </c>
      <c r="F244" s="392">
        <v>3.6</v>
      </c>
      <c r="G244" s="392">
        <f t="shared" si="6"/>
        <v>3.6000000000000005</v>
      </c>
      <c r="I244" s="392">
        <v>2.4</v>
      </c>
      <c r="J244" s="392">
        <v>121.9</v>
      </c>
      <c r="K244" s="392">
        <f t="shared" si="7"/>
        <v>121.89999999999999</v>
      </c>
    </row>
    <row r="245" spans="5:11">
      <c r="E245" s="392">
        <v>90.365000000000009</v>
      </c>
      <c r="F245" s="392">
        <v>3.59</v>
      </c>
      <c r="G245" s="392">
        <f t="shared" si="6"/>
        <v>3.59</v>
      </c>
      <c r="I245" s="392">
        <v>2.41</v>
      </c>
      <c r="J245" s="392">
        <v>121.63499999999999</v>
      </c>
      <c r="K245" s="392">
        <f t="shared" si="7"/>
        <v>121.63500000000001</v>
      </c>
    </row>
    <row r="246" spans="5:11">
      <c r="E246" s="392">
        <v>90.63</v>
      </c>
      <c r="F246" s="392">
        <v>3.58</v>
      </c>
      <c r="G246" s="392">
        <f t="shared" si="6"/>
        <v>3.5800000000000005</v>
      </c>
      <c r="I246" s="392">
        <v>2.42</v>
      </c>
      <c r="J246" s="392">
        <v>121.37</v>
      </c>
      <c r="K246" s="392">
        <f t="shared" si="7"/>
        <v>121.37</v>
      </c>
    </row>
    <row r="247" spans="5:11">
      <c r="E247" s="392">
        <v>90.89500000000001</v>
      </c>
      <c r="F247" s="392">
        <v>3.57</v>
      </c>
      <c r="G247" s="392">
        <f t="shared" si="6"/>
        <v>3.57</v>
      </c>
      <c r="I247" s="392">
        <v>2.4300000000000002</v>
      </c>
      <c r="J247" s="392">
        <v>121.10499999999999</v>
      </c>
      <c r="K247" s="392">
        <f t="shared" si="7"/>
        <v>121.10500000000002</v>
      </c>
    </row>
    <row r="248" spans="5:11">
      <c r="E248" s="392">
        <v>91.16</v>
      </c>
      <c r="F248" s="392">
        <v>3.56</v>
      </c>
      <c r="G248" s="392">
        <f t="shared" si="6"/>
        <v>3.56</v>
      </c>
      <c r="I248" s="392">
        <v>2.44</v>
      </c>
      <c r="J248" s="392">
        <v>120.84</v>
      </c>
      <c r="K248" s="392">
        <f t="shared" si="7"/>
        <v>120.84000000000002</v>
      </c>
    </row>
    <row r="249" spans="5:11">
      <c r="E249" s="392">
        <v>91.425000000000011</v>
      </c>
      <c r="F249" s="392">
        <v>3.55</v>
      </c>
      <c r="G249" s="392">
        <f t="shared" si="6"/>
        <v>3.55</v>
      </c>
      <c r="I249" s="392">
        <v>2.4500000000000002</v>
      </c>
      <c r="J249" s="392">
        <v>120.57499999999999</v>
      </c>
      <c r="K249" s="392">
        <f t="shared" si="7"/>
        <v>120.575</v>
      </c>
    </row>
    <row r="250" spans="5:11">
      <c r="E250" s="392">
        <v>91.69</v>
      </c>
      <c r="F250" s="392">
        <v>3.54</v>
      </c>
      <c r="G250" s="392">
        <f t="shared" si="6"/>
        <v>3.54</v>
      </c>
      <c r="I250" s="392">
        <v>2.46</v>
      </c>
      <c r="J250" s="392">
        <v>120.31</v>
      </c>
      <c r="K250" s="392">
        <f t="shared" si="7"/>
        <v>120.31</v>
      </c>
    </row>
    <row r="251" spans="5:11">
      <c r="E251" s="392">
        <v>91.954999999999998</v>
      </c>
      <c r="F251" s="392">
        <v>3.53</v>
      </c>
      <c r="G251" s="392">
        <f t="shared" si="6"/>
        <v>3.5300000000000002</v>
      </c>
      <c r="I251" s="392">
        <v>2.4700000000000002</v>
      </c>
      <c r="J251" s="392">
        <v>120.045</v>
      </c>
      <c r="K251" s="392">
        <f t="shared" si="7"/>
        <v>120.04499999999999</v>
      </c>
    </row>
    <row r="252" spans="5:11">
      <c r="E252" s="392">
        <v>92.22</v>
      </c>
      <c r="F252" s="392">
        <v>3.52</v>
      </c>
      <c r="G252" s="392">
        <f t="shared" si="6"/>
        <v>3.52</v>
      </c>
      <c r="I252" s="392">
        <v>2.48</v>
      </c>
      <c r="J252" s="392">
        <v>119.78</v>
      </c>
      <c r="K252" s="392">
        <f t="shared" si="7"/>
        <v>119.77999999999999</v>
      </c>
    </row>
    <row r="253" spans="5:11">
      <c r="E253" s="392">
        <v>92.484999999999999</v>
      </c>
      <c r="F253" s="392">
        <v>3.51</v>
      </c>
      <c r="G253" s="392">
        <f t="shared" si="6"/>
        <v>3.5100000000000002</v>
      </c>
      <c r="I253" s="392">
        <v>2.4900000000000002</v>
      </c>
      <c r="J253" s="392">
        <v>119.515</v>
      </c>
      <c r="K253" s="392">
        <f t="shared" si="7"/>
        <v>119.515</v>
      </c>
    </row>
    <row r="254" spans="5:11">
      <c r="E254" s="392">
        <v>92.75</v>
      </c>
      <c r="F254" s="392">
        <v>3.5</v>
      </c>
      <c r="G254" s="392">
        <f t="shared" si="6"/>
        <v>3.5</v>
      </c>
      <c r="I254" s="392">
        <v>2.5</v>
      </c>
      <c r="J254" s="392">
        <v>119.25</v>
      </c>
      <c r="K254" s="392">
        <f t="shared" si="7"/>
        <v>119.25</v>
      </c>
    </row>
    <row r="255" spans="5:11">
      <c r="E255" s="392">
        <v>93.015000000000001</v>
      </c>
      <c r="F255" s="392">
        <v>3.49</v>
      </c>
      <c r="G255" s="392">
        <f t="shared" si="6"/>
        <v>3.49</v>
      </c>
      <c r="I255" s="392">
        <v>2.5099999999999998</v>
      </c>
      <c r="J255" s="392">
        <v>118.985</v>
      </c>
      <c r="K255" s="392">
        <f t="shared" si="7"/>
        <v>118.98500000000001</v>
      </c>
    </row>
    <row r="256" spans="5:11">
      <c r="E256" s="392">
        <v>93.28</v>
      </c>
      <c r="F256" s="392">
        <v>3.48</v>
      </c>
      <c r="G256" s="392">
        <f t="shared" si="6"/>
        <v>3.48</v>
      </c>
      <c r="I256" s="392">
        <v>2.52</v>
      </c>
      <c r="J256" s="392">
        <v>118.72</v>
      </c>
      <c r="K256" s="392">
        <f t="shared" si="7"/>
        <v>118.72000000000001</v>
      </c>
    </row>
    <row r="257" spans="5:11">
      <c r="E257" s="392">
        <v>93.545000000000002</v>
      </c>
      <c r="F257" s="392">
        <v>3.47</v>
      </c>
      <c r="G257" s="392">
        <f t="shared" si="6"/>
        <v>3.47</v>
      </c>
      <c r="I257" s="392">
        <v>2.5299999999999998</v>
      </c>
      <c r="J257" s="392">
        <v>118.455</v>
      </c>
      <c r="K257" s="392">
        <f t="shared" si="7"/>
        <v>118.45500000000003</v>
      </c>
    </row>
    <row r="258" spans="5:11">
      <c r="E258" s="392">
        <v>93.81</v>
      </c>
      <c r="F258" s="392">
        <v>3.46</v>
      </c>
      <c r="G258" s="392">
        <f t="shared" si="6"/>
        <v>3.46</v>
      </c>
      <c r="I258" s="392">
        <v>2.54</v>
      </c>
      <c r="J258" s="392">
        <v>118.19</v>
      </c>
      <c r="K258" s="392">
        <f t="shared" si="7"/>
        <v>118.19</v>
      </c>
    </row>
    <row r="259" spans="5:11">
      <c r="E259" s="392">
        <v>94.074999999999989</v>
      </c>
      <c r="F259" s="392">
        <v>3.45</v>
      </c>
      <c r="G259" s="392">
        <f t="shared" si="6"/>
        <v>3.4500000000000006</v>
      </c>
      <c r="I259" s="392">
        <v>2.5499999999999998</v>
      </c>
      <c r="J259" s="392">
        <v>117.92500000000001</v>
      </c>
      <c r="K259" s="392">
        <f t="shared" si="7"/>
        <v>117.92500000000001</v>
      </c>
    </row>
    <row r="260" spans="5:11">
      <c r="E260" s="392">
        <v>94.34</v>
      </c>
      <c r="F260" s="392">
        <v>3.44</v>
      </c>
      <c r="G260" s="392">
        <f t="shared" si="6"/>
        <v>3.44</v>
      </c>
      <c r="I260" s="392">
        <v>2.56</v>
      </c>
      <c r="J260" s="392">
        <v>117.66</v>
      </c>
      <c r="K260" s="392">
        <f t="shared" si="7"/>
        <v>117.66</v>
      </c>
    </row>
    <row r="261" spans="5:11">
      <c r="E261" s="392">
        <v>94.60499999999999</v>
      </c>
      <c r="F261" s="392">
        <v>3.43</v>
      </c>
      <c r="G261" s="392">
        <f t="shared" ref="G261:G324" si="8">E261*(-6/159)+7</f>
        <v>3.4300000000000006</v>
      </c>
      <c r="I261" s="392">
        <v>2.57</v>
      </c>
      <c r="J261" s="392">
        <v>117.39500000000001</v>
      </c>
      <c r="K261" s="392">
        <f t="shared" ref="K261:K324" si="9">(I261-7)/(-6/159)</f>
        <v>117.395</v>
      </c>
    </row>
    <row r="262" spans="5:11">
      <c r="E262" s="392">
        <v>94.87</v>
      </c>
      <c r="F262" s="392">
        <v>3.42</v>
      </c>
      <c r="G262" s="392">
        <f t="shared" si="8"/>
        <v>3.42</v>
      </c>
      <c r="I262" s="392">
        <v>2.58</v>
      </c>
      <c r="J262" s="392">
        <v>117.13</v>
      </c>
      <c r="K262" s="392">
        <f t="shared" si="9"/>
        <v>117.13000000000001</v>
      </c>
    </row>
    <row r="263" spans="5:11">
      <c r="E263" s="392">
        <v>95.134999999999991</v>
      </c>
      <c r="F263" s="392">
        <v>3.41</v>
      </c>
      <c r="G263" s="392">
        <f t="shared" si="8"/>
        <v>3.4100000000000006</v>
      </c>
      <c r="I263" s="392">
        <v>2.59</v>
      </c>
      <c r="J263" s="392">
        <v>116.86500000000001</v>
      </c>
      <c r="K263" s="392">
        <f t="shared" si="9"/>
        <v>116.86500000000001</v>
      </c>
    </row>
    <row r="264" spans="5:11">
      <c r="E264" s="392">
        <v>95.4</v>
      </c>
      <c r="F264" s="392">
        <v>3.4</v>
      </c>
      <c r="G264" s="392">
        <f t="shared" si="8"/>
        <v>3.4</v>
      </c>
      <c r="I264" s="392">
        <v>2.6</v>
      </c>
      <c r="J264" s="392">
        <v>116.6</v>
      </c>
      <c r="K264" s="392">
        <f t="shared" si="9"/>
        <v>116.60000000000001</v>
      </c>
    </row>
    <row r="265" spans="5:11">
      <c r="E265" s="392">
        <v>95.664999999999992</v>
      </c>
      <c r="F265" s="392">
        <v>3.39</v>
      </c>
      <c r="G265" s="392">
        <f t="shared" si="8"/>
        <v>3.3900000000000006</v>
      </c>
      <c r="I265" s="392">
        <v>2.61</v>
      </c>
      <c r="J265" s="392">
        <v>116.33500000000001</v>
      </c>
      <c r="K265" s="392">
        <f t="shared" si="9"/>
        <v>116.33500000000002</v>
      </c>
    </row>
    <row r="266" spans="5:11">
      <c r="E266" s="392">
        <v>95.93</v>
      </c>
      <c r="F266" s="392">
        <v>3.38</v>
      </c>
      <c r="G266" s="392">
        <f t="shared" si="8"/>
        <v>3.38</v>
      </c>
      <c r="I266" s="392">
        <v>2.62</v>
      </c>
      <c r="J266" s="392">
        <v>116.07</v>
      </c>
      <c r="K266" s="392">
        <f t="shared" si="9"/>
        <v>116.07000000000001</v>
      </c>
    </row>
    <row r="267" spans="5:11">
      <c r="E267" s="392">
        <v>96.194999999999993</v>
      </c>
      <c r="F267" s="392">
        <v>3.37</v>
      </c>
      <c r="G267" s="392">
        <f t="shared" si="8"/>
        <v>3.3700000000000006</v>
      </c>
      <c r="I267" s="392">
        <v>2.63</v>
      </c>
      <c r="J267" s="392">
        <v>115.80500000000001</v>
      </c>
      <c r="K267" s="392">
        <f t="shared" si="9"/>
        <v>115.80500000000001</v>
      </c>
    </row>
    <row r="268" spans="5:11">
      <c r="E268" s="392">
        <v>96.460000000000008</v>
      </c>
      <c r="F268" s="392">
        <v>3.36</v>
      </c>
      <c r="G268" s="392">
        <f t="shared" si="8"/>
        <v>3.36</v>
      </c>
      <c r="I268" s="392">
        <v>2.64</v>
      </c>
      <c r="J268" s="392">
        <v>115.53999999999999</v>
      </c>
      <c r="K268" s="392">
        <f t="shared" si="9"/>
        <v>115.53999999999999</v>
      </c>
    </row>
    <row r="269" spans="5:11">
      <c r="E269" s="392">
        <v>96.724999999999994</v>
      </c>
      <c r="F269" s="392">
        <v>3.35</v>
      </c>
      <c r="G269" s="392">
        <f t="shared" si="8"/>
        <v>3.3500000000000005</v>
      </c>
      <c r="I269" s="392">
        <v>2.65</v>
      </c>
      <c r="J269" s="392">
        <v>115.27500000000001</v>
      </c>
      <c r="K269" s="392">
        <f t="shared" si="9"/>
        <v>115.27499999999999</v>
      </c>
    </row>
    <row r="270" spans="5:11">
      <c r="E270" s="392">
        <v>96.990000000000009</v>
      </c>
      <c r="F270" s="392">
        <v>3.34</v>
      </c>
      <c r="G270" s="392">
        <f t="shared" si="8"/>
        <v>3.34</v>
      </c>
      <c r="I270" s="392">
        <v>2.66</v>
      </c>
      <c r="J270" s="392">
        <v>115.00999999999999</v>
      </c>
      <c r="K270" s="392">
        <f t="shared" si="9"/>
        <v>115.01</v>
      </c>
    </row>
    <row r="271" spans="5:11">
      <c r="E271" s="392">
        <v>97.254999999999995</v>
      </c>
      <c r="F271" s="392">
        <v>3.33</v>
      </c>
      <c r="G271" s="392">
        <f t="shared" si="8"/>
        <v>3.3300000000000005</v>
      </c>
      <c r="I271" s="392">
        <v>2.67</v>
      </c>
      <c r="J271" s="392">
        <v>114.745</v>
      </c>
      <c r="K271" s="392">
        <f t="shared" si="9"/>
        <v>114.745</v>
      </c>
    </row>
    <row r="272" spans="5:11">
      <c r="E272" s="392">
        <v>97.52000000000001</v>
      </c>
      <c r="F272" s="392">
        <v>3.32</v>
      </c>
      <c r="G272" s="392">
        <f t="shared" si="8"/>
        <v>3.32</v>
      </c>
      <c r="I272" s="392">
        <v>2.68</v>
      </c>
      <c r="J272" s="392">
        <v>114.47999999999999</v>
      </c>
      <c r="K272" s="392">
        <f t="shared" si="9"/>
        <v>114.48000000000002</v>
      </c>
    </row>
    <row r="273" spans="5:11">
      <c r="E273" s="392">
        <v>97.784999999999997</v>
      </c>
      <c r="F273" s="392">
        <v>3.31</v>
      </c>
      <c r="G273" s="392">
        <f t="shared" si="8"/>
        <v>3.31</v>
      </c>
      <c r="I273" s="392">
        <v>2.69</v>
      </c>
      <c r="J273" s="392">
        <v>114.215</v>
      </c>
      <c r="K273" s="392">
        <f t="shared" si="9"/>
        <v>114.21500000000002</v>
      </c>
    </row>
    <row r="274" spans="5:11">
      <c r="E274" s="392">
        <v>98.050000000000011</v>
      </c>
      <c r="F274" s="392">
        <v>3.3</v>
      </c>
      <c r="G274" s="392">
        <f t="shared" si="8"/>
        <v>3.3</v>
      </c>
      <c r="I274" s="392">
        <v>2.7</v>
      </c>
      <c r="J274" s="392">
        <v>113.94999999999999</v>
      </c>
      <c r="K274" s="392">
        <f t="shared" si="9"/>
        <v>113.95</v>
      </c>
    </row>
    <row r="275" spans="5:11">
      <c r="E275" s="392">
        <v>98.314999999999998</v>
      </c>
      <c r="F275" s="392">
        <v>3.29</v>
      </c>
      <c r="G275" s="392">
        <f t="shared" si="8"/>
        <v>3.29</v>
      </c>
      <c r="I275" s="392">
        <v>2.71</v>
      </c>
      <c r="J275" s="392">
        <v>113.685</v>
      </c>
      <c r="K275" s="392">
        <f t="shared" si="9"/>
        <v>113.685</v>
      </c>
    </row>
    <row r="276" spans="5:11">
      <c r="E276" s="392">
        <v>98.58</v>
      </c>
      <c r="F276" s="392">
        <v>3.28</v>
      </c>
      <c r="G276" s="392">
        <f t="shared" si="8"/>
        <v>3.2800000000000002</v>
      </c>
      <c r="I276" s="392">
        <v>2.72</v>
      </c>
      <c r="J276" s="392">
        <v>113.42</v>
      </c>
      <c r="K276" s="392">
        <f t="shared" si="9"/>
        <v>113.41999999999999</v>
      </c>
    </row>
    <row r="277" spans="5:11">
      <c r="E277" s="392">
        <v>98.844999999999999</v>
      </c>
      <c r="F277" s="392">
        <v>3.27</v>
      </c>
      <c r="G277" s="392">
        <f t="shared" si="8"/>
        <v>3.27</v>
      </c>
      <c r="I277" s="392">
        <v>2.73</v>
      </c>
      <c r="J277" s="392">
        <v>113.155</v>
      </c>
      <c r="K277" s="392">
        <f t="shared" si="9"/>
        <v>113.15499999999999</v>
      </c>
    </row>
    <row r="278" spans="5:11">
      <c r="E278" s="392">
        <v>99.11</v>
      </c>
      <c r="F278" s="392">
        <v>3.26</v>
      </c>
      <c r="G278" s="392">
        <f t="shared" si="8"/>
        <v>3.2600000000000002</v>
      </c>
      <c r="I278" s="392">
        <v>2.74</v>
      </c>
      <c r="J278" s="392">
        <v>112.89</v>
      </c>
      <c r="K278" s="392">
        <f t="shared" si="9"/>
        <v>112.89</v>
      </c>
    </row>
    <row r="279" spans="5:11">
      <c r="E279" s="392">
        <v>99.375</v>
      </c>
      <c r="F279" s="392">
        <v>3.25</v>
      </c>
      <c r="G279" s="392">
        <f t="shared" si="8"/>
        <v>3.25</v>
      </c>
      <c r="I279" s="392">
        <v>2.75</v>
      </c>
      <c r="J279" s="392">
        <v>112.625</v>
      </c>
      <c r="K279" s="392">
        <f t="shared" si="9"/>
        <v>112.625</v>
      </c>
    </row>
    <row r="280" spans="5:11">
      <c r="E280" s="392">
        <v>99.64</v>
      </c>
      <c r="F280" s="392">
        <v>3.24</v>
      </c>
      <c r="G280" s="392">
        <f t="shared" si="8"/>
        <v>3.24</v>
      </c>
      <c r="I280" s="392">
        <v>2.76</v>
      </c>
      <c r="J280" s="392">
        <v>112.36</v>
      </c>
      <c r="K280" s="392">
        <f t="shared" si="9"/>
        <v>112.36000000000001</v>
      </c>
    </row>
    <row r="281" spans="5:11">
      <c r="E281" s="392">
        <v>99.905000000000001</v>
      </c>
      <c r="F281" s="392">
        <v>3.23</v>
      </c>
      <c r="G281" s="392">
        <f t="shared" si="8"/>
        <v>3.23</v>
      </c>
      <c r="I281" s="392">
        <v>2.77</v>
      </c>
      <c r="J281" s="392">
        <v>112.095</v>
      </c>
      <c r="K281" s="392">
        <f t="shared" si="9"/>
        <v>112.09500000000001</v>
      </c>
    </row>
    <row r="282" spans="5:11">
      <c r="E282" s="392">
        <v>100.17</v>
      </c>
      <c r="F282" s="392">
        <v>3.22</v>
      </c>
      <c r="G282" s="392">
        <f t="shared" si="8"/>
        <v>3.22</v>
      </c>
      <c r="I282" s="392">
        <v>2.78</v>
      </c>
      <c r="J282" s="392">
        <v>111.83</v>
      </c>
      <c r="K282" s="392">
        <f t="shared" si="9"/>
        <v>111.83000000000003</v>
      </c>
    </row>
    <row r="283" spans="5:11">
      <c r="E283" s="392">
        <v>100.435</v>
      </c>
      <c r="F283" s="392">
        <v>3.21</v>
      </c>
      <c r="G283" s="392">
        <f t="shared" si="8"/>
        <v>3.21</v>
      </c>
      <c r="I283" s="392">
        <v>2.79</v>
      </c>
      <c r="J283" s="392">
        <v>111.565</v>
      </c>
      <c r="K283" s="392">
        <f t="shared" si="9"/>
        <v>111.565</v>
      </c>
    </row>
    <row r="284" spans="5:11">
      <c r="E284" s="392">
        <v>100.69999999999999</v>
      </c>
      <c r="F284" s="392">
        <v>3.2</v>
      </c>
      <c r="G284" s="392">
        <f t="shared" si="8"/>
        <v>3.2000000000000006</v>
      </c>
      <c r="I284" s="392">
        <v>2.8</v>
      </c>
      <c r="J284" s="392">
        <v>111.30000000000001</v>
      </c>
      <c r="K284" s="392">
        <f t="shared" si="9"/>
        <v>111.30000000000001</v>
      </c>
    </row>
    <row r="285" spans="5:11">
      <c r="E285" s="392">
        <v>100.965</v>
      </c>
      <c r="F285" s="392">
        <v>3.19</v>
      </c>
      <c r="G285" s="392">
        <f t="shared" si="8"/>
        <v>3.19</v>
      </c>
      <c r="I285" s="392">
        <v>2.81</v>
      </c>
      <c r="J285" s="392">
        <v>111.035</v>
      </c>
      <c r="K285" s="392">
        <f t="shared" si="9"/>
        <v>111.035</v>
      </c>
    </row>
    <row r="286" spans="5:11">
      <c r="E286" s="392">
        <v>101.22999999999999</v>
      </c>
      <c r="F286" s="392">
        <v>3.18</v>
      </c>
      <c r="G286" s="392">
        <f t="shared" si="8"/>
        <v>3.1800000000000006</v>
      </c>
      <c r="I286" s="392">
        <v>2.82</v>
      </c>
      <c r="J286" s="392">
        <v>110.77000000000001</v>
      </c>
      <c r="K286" s="392">
        <f t="shared" si="9"/>
        <v>110.77</v>
      </c>
    </row>
    <row r="287" spans="5:11">
      <c r="E287" s="392">
        <v>101.495</v>
      </c>
      <c r="F287" s="392">
        <v>3.17</v>
      </c>
      <c r="G287" s="392">
        <f t="shared" si="8"/>
        <v>3.17</v>
      </c>
      <c r="I287" s="392">
        <v>2.83</v>
      </c>
      <c r="J287" s="392">
        <v>110.505</v>
      </c>
      <c r="K287" s="392">
        <f t="shared" si="9"/>
        <v>110.505</v>
      </c>
    </row>
    <row r="288" spans="5:11">
      <c r="E288" s="392">
        <v>101.75999999999999</v>
      </c>
      <c r="F288" s="392">
        <v>3.16</v>
      </c>
      <c r="G288" s="392">
        <f t="shared" si="8"/>
        <v>3.1600000000000006</v>
      </c>
      <c r="I288" s="392">
        <v>2.84</v>
      </c>
      <c r="J288" s="392">
        <v>110.24000000000001</v>
      </c>
      <c r="K288" s="392">
        <f t="shared" si="9"/>
        <v>110.24000000000001</v>
      </c>
    </row>
    <row r="289" spans="5:11">
      <c r="E289" s="392">
        <v>102.02500000000001</v>
      </c>
      <c r="F289" s="392">
        <v>3.15</v>
      </c>
      <c r="G289" s="392">
        <f t="shared" si="8"/>
        <v>3.15</v>
      </c>
      <c r="I289" s="392">
        <v>2.85</v>
      </c>
      <c r="J289" s="392">
        <v>109.97499999999999</v>
      </c>
      <c r="K289" s="392">
        <f t="shared" si="9"/>
        <v>109.97500000000001</v>
      </c>
    </row>
    <row r="290" spans="5:11">
      <c r="E290" s="392">
        <v>102.28999999999999</v>
      </c>
      <c r="F290" s="392">
        <v>3.14</v>
      </c>
      <c r="G290" s="392">
        <f t="shared" si="8"/>
        <v>3.1400000000000006</v>
      </c>
      <c r="I290" s="392">
        <v>2.86</v>
      </c>
      <c r="J290" s="392">
        <v>109.71000000000001</v>
      </c>
      <c r="K290" s="392">
        <f t="shared" si="9"/>
        <v>109.71000000000002</v>
      </c>
    </row>
    <row r="291" spans="5:11">
      <c r="E291" s="392">
        <v>102.55500000000001</v>
      </c>
      <c r="F291" s="392">
        <v>3.13</v>
      </c>
      <c r="G291" s="392">
        <f t="shared" si="8"/>
        <v>3.13</v>
      </c>
      <c r="I291" s="392">
        <v>2.87</v>
      </c>
      <c r="J291" s="392">
        <v>109.44499999999999</v>
      </c>
      <c r="K291" s="392">
        <f t="shared" si="9"/>
        <v>109.44500000000001</v>
      </c>
    </row>
    <row r="292" spans="5:11">
      <c r="E292" s="392">
        <v>102.82</v>
      </c>
      <c r="F292" s="392">
        <v>3.12</v>
      </c>
      <c r="G292" s="392">
        <f t="shared" si="8"/>
        <v>3.1200000000000006</v>
      </c>
      <c r="I292" s="392">
        <v>2.88</v>
      </c>
      <c r="J292" s="392">
        <v>109.18</v>
      </c>
      <c r="K292" s="392">
        <f t="shared" si="9"/>
        <v>109.18</v>
      </c>
    </row>
    <row r="293" spans="5:11">
      <c r="E293" s="392">
        <v>103.08500000000001</v>
      </c>
      <c r="F293" s="392">
        <v>3.11</v>
      </c>
      <c r="G293" s="392">
        <f t="shared" si="8"/>
        <v>3.11</v>
      </c>
      <c r="I293" s="392">
        <v>2.89</v>
      </c>
      <c r="J293" s="392">
        <v>108.91499999999999</v>
      </c>
      <c r="K293" s="392">
        <f t="shared" si="9"/>
        <v>108.91499999999999</v>
      </c>
    </row>
    <row r="294" spans="5:11">
      <c r="E294" s="392">
        <v>103.35</v>
      </c>
      <c r="F294" s="392">
        <v>3.1</v>
      </c>
      <c r="G294" s="392">
        <f t="shared" si="8"/>
        <v>3.1000000000000005</v>
      </c>
      <c r="I294" s="392">
        <v>2.9</v>
      </c>
      <c r="J294" s="392">
        <v>108.65</v>
      </c>
      <c r="K294" s="392">
        <f t="shared" si="9"/>
        <v>108.64999999999999</v>
      </c>
    </row>
    <row r="295" spans="5:11">
      <c r="E295" s="392">
        <v>103.61500000000001</v>
      </c>
      <c r="F295" s="392">
        <v>3.09</v>
      </c>
      <c r="G295" s="392">
        <f t="shared" si="8"/>
        <v>3.09</v>
      </c>
      <c r="I295" s="392">
        <v>2.91</v>
      </c>
      <c r="J295" s="392">
        <v>108.38499999999999</v>
      </c>
      <c r="K295" s="392">
        <f t="shared" si="9"/>
        <v>108.38500000000001</v>
      </c>
    </row>
    <row r="296" spans="5:11">
      <c r="E296" s="392">
        <v>103.88</v>
      </c>
      <c r="F296" s="392">
        <v>3.08</v>
      </c>
      <c r="G296" s="392">
        <f t="shared" si="8"/>
        <v>3.0800000000000005</v>
      </c>
      <c r="I296" s="392">
        <v>2.92</v>
      </c>
      <c r="J296" s="392">
        <v>108.12</v>
      </c>
      <c r="K296" s="392">
        <f t="shared" si="9"/>
        <v>108.12</v>
      </c>
    </row>
    <row r="297" spans="5:11">
      <c r="E297" s="392">
        <v>104.14500000000001</v>
      </c>
      <c r="F297" s="392">
        <v>3.07</v>
      </c>
      <c r="G297" s="392">
        <f t="shared" si="8"/>
        <v>3.07</v>
      </c>
      <c r="I297" s="392">
        <v>2.93</v>
      </c>
      <c r="J297" s="392">
        <v>107.85499999999999</v>
      </c>
      <c r="K297" s="392">
        <f t="shared" si="9"/>
        <v>107.85500000000002</v>
      </c>
    </row>
    <row r="298" spans="5:11">
      <c r="E298" s="392">
        <v>104.41</v>
      </c>
      <c r="F298" s="392">
        <v>3.06</v>
      </c>
      <c r="G298" s="392">
        <f t="shared" si="8"/>
        <v>3.0600000000000005</v>
      </c>
      <c r="I298" s="392">
        <v>2.94</v>
      </c>
      <c r="J298" s="392">
        <v>107.59</v>
      </c>
      <c r="K298" s="392">
        <f t="shared" si="9"/>
        <v>107.59000000000002</v>
      </c>
    </row>
    <row r="299" spans="5:11">
      <c r="E299" s="392">
        <v>104.67500000000001</v>
      </c>
      <c r="F299" s="392">
        <v>3.05</v>
      </c>
      <c r="G299" s="392">
        <f t="shared" si="8"/>
        <v>3.05</v>
      </c>
      <c r="I299" s="392">
        <v>2.95</v>
      </c>
      <c r="J299" s="392">
        <v>107.32499999999999</v>
      </c>
      <c r="K299" s="392">
        <f t="shared" si="9"/>
        <v>107.325</v>
      </c>
    </row>
    <row r="300" spans="5:11">
      <c r="E300" s="392">
        <v>104.94</v>
      </c>
      <c r="F300" s="392">
        <v>3.04</v>
      </c>
      <c r="G300" s="392">
        <f t="shared" si="8"/>
        <v>3.04</v>
      </c>
      <c r="I300" s="392">
        <v>2.96</v>
      </c>
      <c r="J300" s="392">
        <v>107.06</v>
      </c>
      <c r="K300" s="392">
        <f t="shared" si="9"/>
        <v>107.06</v>
      </c>
    </row>
    <row r="301" spans="5:11">
      <c r="E301" s="392">
        <v>105.205</v>
      </c>
      <c r="F301" s="392">
        <v>3.03</v>
      </c>
      <c r="G301" s="392">
        <f t="shared" si="8"/>
        <v>3.0300000000000002</v>
      </c>
      <c r="I301" s="392">
        <v>2.97</v>
      </c>
      <c r="J301" s="392">
        <v>106.795</v>
      </c>
      <c r="K301" s="392">
        <f t="shared" si="9"/>
        <v>106.79499999999999</v>
      </c>
    </row>
    <row r="302" spans="5:11">
      <c r="E302" s="392">
        <v>105.47</v>
      </c>
      <c r="F302" s="392">
        <v>3.02</v>
      </c>
      <c r="G302" s="392">
        <f t="shared" si="8"/>
        <v>3.02</v>
      </c>
      <c r="I302" s="392">
        <v>2.98</v>
      </c>
      <c r="J302" s="392">
        <v>106.53</v>
      </c>
      <c r="K302" s="392">
        <f t="shared" si="9"/>
        <v>106.52999999999999</v>
      </c>
    </row>
    <row r="303" spans="5:11">
      <c r="E303" s="392">
        <v>105.735</v>
      </c>
      <c r="F303" s="392">
        <v>3.01</v>
      </c>
      <c r="G303" s="392">
        <f t="shared" si="8"/>
        <v>3.0100000000000002</v>
      </c>
      <c r="I303" s="392">
        <v>2.99</v>
      </c>
      <c r="J303" s="392">
        <v>106.265</v>
      </c>
      <c r="K303" s="392">
        <f t="shared" si="9"/>
        <v>106.265</v>
      </c>
    </row>
    <row r="304" spans="5:11">
      <c r="E304" s="392">
        <v>106</v>
      </c>
      <c r="F304" s="392">
        <v>3</v>
      </c>
      <c r="G304" s="392">
        <f t="shared" si="8"/>
        <v>3</v>
      </c>
      <c r="I304" s="392">
        <v>3</v>
      </c>
      <c r="J304" s="392">
        <v>106</v>
      </c>
      <c r="K304" s="392">
        <f t="shared" si="9"/>
        <v>106</v>
      </c>
    </row>
    <row r="305" spans="5:11">
      <c r="E305" s="392">
        <v>106.265</v>
      </c>
      <c r="F305" s="392">
        <v>2.99</v>
      </c>
      <c r="G305" s="392">
        <f t="shared" si="8"/>
        <v>2.99</v>
      </c>
      <c r="I305" s="392">
        <v>3.01</v>
      </c>
      <c r="J305" s="392">
        <v>105.735</v>
      </c>
      <c r="K305" s="392">
        <f t="shared" si="9"/>
        <v>105.73500000000001</v>
      </c>
    </row>
    <row r="306" spans="5:11">
      <c r="E306" s="392">
        <v>106.53</v>
      </c>
      <c r="F306" s="392">
        <v>2.98</v>
      </c>
      <c r="G306" s="392">
        <f t="shared" si="8"/>
        <v>2.9800000000000004</v>
      </c>
      <c r="I306" s="392">
        <v>3.02</v>
      </c>
      <c r="J306" s="392">
        <v>105.47</v>
      </c>
      <c r="K306" s="392">
        <f t="shared" si="9"/>
        <v>105.47</v>
      </c>
    </row>
    <row r="307" spans="5:11">
      <c r="E307" s="392">
        <v>106.795</v>
      </c>
      <c r="F307" s="392">
        <v>2.97</v>
      </c>
      <c r="G307" s="392">
        <f t="shared" si="8"/>
        <v>2.9699999999999998</v>
      </c>
      <c r="I307" s="392">
        <v>3.03</v>
      </c>
      <c r="J307" s="392">
        <v>105.205</v>
      </c>
      <c r="K307" s="392">
        <f t="shared" si="9"/>
        <v>105.20500000000001</v>
      </c>
    </row>
    <row r="308" spans="5:11">
      <c r="E308" s="392">
        <v>107.06</v>
      </c>
      <c r="F308" s="392">
        <v>2.96</v>
      </c>
      <c r="G308" s="392">
        <f t="shared" si="8"/>
        <v>2.96</v>
      </c>
      <c r="I308" s="392">
        <v>3.04</v>
      </c>
      <c r="J308" s="392">
        <v>104.94</v>
      </c>
      <c r="K308" s="392">
        <f t="shared" si="9"/>
        <v>104.94</v>
      </c>
    </row>
    <row r="309" spans="5:11">
      <c r="E309" s="392">
        <v>107.32499999999999</v>
      </c>
      <c r="F309" s="392">
        <v>2.95</v>
      </c>
      <c r="G309" s="392">
        <f t="shared" si="8"/>
        <v>2.95</v>
      </c>
      <c r="I309" s="392">
        <v>3.05</v>
      </c>
      <c r="J309" s="392">
        <v>104.67500000000001</v>
      </c>
      <c r="K309" s="392">
        <f t="shared" si="9"/>
        <v>104.67500000000001</v>
      </c>
    </row>
    <row r="310" spans="5:11">
      <c r="E310" s="392">
        <v>107.59</v>
      </c>
      <c r="F310" s="392">
        <v>2.94</v>
      </c>
      <c r="G310" s="392">
        <f t="shared" si="8"/>
        <v>2.9400000000000004</v>
      </c>
      <c r="I310" s="392">
        <v>3.06</v>
      </c>
      <c r="J310" s="392">
        <v>104.41</v>
      </c>
      <c r="K310" s="392">
        <f t="shared" si="9"/>
        <v>104.41</v>
      </c>
    </row>
    <row r="311" spans="5:11">
      <c r="E311" s="392">
        <v>107.85499999999999</v>
      </c>
      <c r="F311" s="392">
        <v>2.93</v>
      </c>
      <c r="G311" s="392">
        <f t="shared" si="8"/>
        <v>2.9300000000000006</v>
      </c>
      <c r="I311" s="392">
        <v>3.07</v>
      </c>
      <c r="J311" s="392">
        <v>104.14500000000001</v>
      </c>
      <c r="K311" s="392">
        <f t="shared" si="9"/>
        <v>104.14500000000001</v>
      </c>
    </row>
    <row r="312" spans="5:11">
      <c r="E312" s="392">
        <v>108.12</v>
      </c>
      <c r="F312" s="392">
        <v>2.92</v>
      </c>
      <c r="G312" s="392">
        <f t="shared" si="8"/>
        <v>2.92</v>
      </c>
      <c r="I312" s="392">
        <v>3.08</v>
      </c>
      <c r="J312" s="392">
        <v>103.88</v>
      </c>
      <c r="K312" s="392">
        <f t="shared" si="9"/>
        <v>103.88</v>
      </c>
    </row>
    <row r="313" spans="5:11">
      <c r="E313" s="392">
        <v>108.38499999999999</v>
      </c>
      <c r="F313" s="392">
        <v>2.91</v>
      </c>
      <c r="G313" s="392">
        <f t="shared" si="8"/>
        <v>2.91</v>
      </c>
      <c r="I313" s="392">
        <v>3.09</v>
      </c>
      <c r="J313" s="392">
        <v>103.61500000000001</v>
      </c>
      <c r="K313" s="392">
        <f t="shared" si="9"/>
        <v>103.61500000000001</v>
      </c>
    </row>
    <row r="314" spans="5:11">
      <c r="E314" s="392">
        <v>108.65</v>
      </c>
      <c r="F314" s="392">
        <v>2.9</v>
      </c>
      <c r="G314" s="392">
        <f t="shared" si="8"/>
        <v>2.9000000000000004</v>
      </c>
      <c r="I314" s="392">
        <v>3.1</v>
      </c>
      <c r="J314" s="392">
        <v>103.35</v>
      </c>
      <c r="K314" s="392">
        <f t="shared" si="9"/>
        <v>103.35000000000001</v>
      </c>
    </row>
    <row r="315" spans="5:11">
      <c r="E315" s="392">
        <v>108.91499999999999</v>
      </c>
      <c r="F315" s="392">
        <v>2.89</v>
      </c>
      <c r="G315" s="392">
        <f t="shared" si="8"/>
        <v>2.8900000000000006</v>
      </c>
      <c r="I315" s="392">
        <v>3.11</v>
      </c>
      <c r="J315" s="392">
        <v>103.08500000000001</v>
      </c>
      <c r="K315" s="392">
        <f t="shared" si="9"/>
        <v>103.08500000000001</v>
      </c>
    </row>
    <row r="316" spans="5:11">
      <c r="E316" s="392">
        <v>109.18</v>
      </c>
      <c r="F316" s="392">
        <v>2.88</v>
      </c>
      <c r="G316" s="392">
        <f t="shared" si="8"/>
        <v>2.88</v>
      </c>
      <c r="I316" s="392">
        <v>3.12</v>
      </c>
      <c r="J316" s="392">
        <v>102.82</v>
      </c>
      <c r="K316" s="392">
        <f t="shared" si="9"/>
        <v>102.82000000000001</v>
      </c>
    </row>
    <row r="317" spans="5:11">
      <c r="E317" s="392">
        <v>109.44499999999999</v>
      </c>
      <c r="F317" s="392">
        <v>2.87</v>
      </c>
      <c r="G317" s="392">
        <f t="shared" si="8"/>
        <v>2.87</v>
      </c>
      <c r="I317" s="392">
        <v>3.13</v>
      </c>
      <c r="J317" s="392">
        <v>102.55500000000001</v>
      </c>
      <c r="K317" s="392">
        <f t="shared" si="9"/>
        <v>102.55500000000001</v>
      </c>
    </row>
    <row r="318" spans="5:11">
      <c r="E318" s="392">
        <v>109.71000000000001</v>
      </c>
      <c r="F318" s="392">
        <v>2.86</v>
      </c>
      <c r="G318" s="392">
        <f t="shared" si="8"/>
        <v>2.8599999999999994</v>
      </c>
      <c r="I318" s="392">
        <v>3.14</v>
      </c>
      <c r="J318" s="392">
        <v>102.28999999999999</v>
      </c>
      <c r="K318" s="392">
        <f t="shared" si="9"/>
        <v>102.29</v>
      </c>
    </row>
    <row r="319" spans="5:11">
      <c r="E319" s="392">
        <v>109.97499999999999</v>
      </c>
      <c r="F319" s="392">
        <v>2.85</v>
      </c>
      <c r="G319" s="392">
        <f t="shared" si="8"/>
        <v>2.8500000000000005</v>
      </c>
      <c r="I319" s="392">
        <v>3.15</v>
      </c>
      <c r="J319" s="392">
        <v>102.02500000000001</v>
      </c>
      <c r="K319" s="392">
        <f t="shared" si="9"/>
        <v>102.02500000000001</v>
      </c>
    </row>
    <row r="320" spans="5:11">
      <c r="E320" s="392">
        <v>110.24000000000001</v>
      </c>
      <c r="F320" s="392">
        <v>2.84</v>
      </c>
      <c r="G320" s="392">
        <f t="shared" si="8"/>
        <v>2.84</v>
      </c>
      <c r="I320" s="392">
        <v>3.16</v>
      </c>
      <c r="J320" s="392">
        <v>101.75999999999999</v>
      </c>
      <c r="K320" s="392">
        <f t="shared" si="9"/>
        <v>101.76</v>
      </c>
    </row>
    <row r="321" spans="5:11">
      <c r="E321" s="392">
        <v>110.505</v>
      </c>
      <c r="F321" s="392">
        <v>2.83</v>
      </c>
      <c r="G321" s="392">
        <f t="shared" si="8"/>
        <v>2.83</v>
      </c>
      <c r="I321" s="392">
        <v>3.17</v>
      </c>
      <c r="J321" s="392">
        <v>101.495</v>
      </c>
      <c r="K321" s="392">
        <f t="shared" si="9"/>
        <v>101.495</v>
      </c>
    </row>
    <row r="322" spans="5:11">
      <c r="E322" s="392">
        <v>110.77000000000001</v>
      </c>
      <c r="F322" s="392">
        <v>2.82</v>
      </c>
      <c r="G322" s="392">
        <f t="shared" si="8"/>
        <v>2.8199999999999994</v>
      </c>
      <c r="I322" s="392">
        <v>3.18</v>
      </c>
      <c r="J322" s="392">
        <v>101.22999999999999</v>
      </c>
      <c r="K322" s="392">
        <f t="shared" si="9"/>
        <v>101.23</v>
      </c>
    </row>
    <row r="323" spans="5:11">
      <c r="E323" s="392">
        <v>111.035</v>
      </c>
      <c r="F323" s="392">
        <v>2.81</v>
      </c>
      <c r="G323" s="392">
        <f t="shared" si="8"/>
        <v>2.8100000000000005</v>
      </c>
      <c r="I323" s="392">
        <v>3.19</v>
      </c>
      <c r="J323" s="392">
        <v>100.965</v>
      </c>
      <c r="K323" s="392">
        <f t="shared" si="9"/>
        <v>100.965</v>
      </c>
    </row>
    <row r="324" spans="5:11">
      <c r="E324" s="392">
        <v>111.30000000000001</v>
      </c>
      <c r="F324" s="392">
        <v>2.8</v>
      </c>
      <c r="G324" s="392">
        <f t="shared" si="8"/>
        <v>2.8</v>
      </c>
      <c r="I324" s="392">
        <v>3.2</v>
      </c>
      <c r="J324" s="392">
        <v>100.69999999999999</v>
      </c>
      <c r="K324" s="392">
        <f t="shared" si="9"/>
        <v>100.7</v>
      </c>
    </row>
    <row r="325" spans="5:11">
      <c r="E325" s="392">
        <v>111.565</v>
      </c>
      <c r="F325" s="392">
        <v>2.79</v>
      </c>
      <c r="G325" s="392">
        <f t="shared" ref="G325:G388" si="10">E325*(-6/159)+7</f>
        <v>2.79</v>
      </c>
      <c r="I325" s="392">
        <v>3.21</v>
      </c>
      <c r="J325" s="392">
        <v>100.435</v>
      </c>
      <c r="K325" s="392">
        <f t="shared" ref="K325:K388" si="11">(I325-7)/(-6/159)</f>
        <v>100.435</v>
      </c>
    </row>
    <row r="326" spans="5:11">
      <c r="E326" s="392">
        <v>111.83</v>
      </c>
      <c r="F326" s="392">
        <v>2.78</v>
      </c>
      <c r="G326" s="392">
        <f t="shared" si="10"/>
        <v>2.7800000000000002</v>
      </c>
      <c r="I326" s="392">
        <v>3.22</v>
      </c>
      <c r="J326" s="392">
        <v>100.17</v>
      </c>
      <c r="K326" s="392">
        <f t="shared" si="11"/>
        <v>100.17</v>
      </c>
    </row>
    <row r="327" spans="5:11">
      <c r="E327" s="392">
        <v>112.095</v>
      </c>
      <c r="F327" s="392">
        <v>2.77</v>
      </c>
      <c r="G327" s="392">
        <f t="shared" si="10"/>
        <v>2.7700000000000005</v>
      </c>
      <c r="I327" s="392">
        <v>3.23</v>
      </c>
      <c r="J327" s="392">
        <v>99.905000000000001</v>
      </c>
      <c r="K327" s="392">
        <f t="shared" si="11"/>
        <v>99.905000000000001</v>
      </c>
    </row>
    <row r="328" spans="5:11">
      <c r="E328" s="392">
        <v>112.36</v>
      </c>
      <c r="F328" s="392">
        <v>2.76</v>
      </c>
      <c r="G328" s="392">
        <f t="shared" si="10"/>
        <v>2.76</v>
      </c>
      <c r="I328" s="392">
        <v>3.24</v>
      </c>
      <c r="J328" s="392">
        <v>99.64</v>
      </c>
      <c r="K328" s="392">
        <f t="shared" si="11"/>
        <v>99.64</v>
      </c>
    </row>
    <row r="329" spans="5:11">
      <c r="E329" s="392">
        <v>112.625</v>
      </c>
      <c r="F329" s="392">
        <v>2.75</v>
      </c>
      <c r="G329" s="392">
        <f t="shared" si="10"/>
        <v>2.75</v>
      </c>
      <c r="I329" s="392">
        <v>3.25</v>
      </c>
      <c r="J329" s="392">
        <v>99.375</v>
      </c>
      <c r="K329" s="392">
        <f t="shared" si="11"/>
        <v>99.375</v>
      </c>
    </row>
    <row r="330" spans="5:11">
      <c r="E330" s="392">
        <v>112.89</v>
      </c>
      <c r="F330" s="392">
        <v>2.74</v>
      </c>
      <c r="G330" s="392">
        <f t="shared" si="10"/>
        <v>2.74</v>
      </c>
      <c r="I330" s="392">
        <v>3.26</v>
      </c>
      <c r="J330" s="392">
        <v>99.11</v>
      </c>
      <c r="K330" s="392">
        <f t="shared" si="11"/>
        <v>99.110000000000014</v>
      </c>
    </row>
    <row r="331" spans="5:11">
      <c r="E331" s="392">
        <v>113.155</v>
      </c>
      <c r="F331" s="392">
        <v>2.73</v>
      </c>
      <c r="G331" s="392">
        <f t="shared" si="10"/>
        <v>2.7300000000000004</v>
      </c>
      <c r="I331" s="392">
        <v>3.27</v>
      </c>
      <c r="J331" s="392">
        <v>98.844999999999999</v>
      </c>
      <c r="K331" s="392">
        <f t="shared" si="11"/>
        <v>98.844999999999999</v>
      </c>
    </row>
    <row r="332" spans="5:11">
      <c r="E332" s="392">
        <v>113.42</v>
      </c>
      <c r="F332" s="392">
        <v>2.72</v>
      </c>
      <c r="G332" s="392">
        <f t="shared" si="10"/>
        <v>2.7199999999999998</v>
      </c>
      <c r="I332" s="392">
        <v>3.28</v>
      </c>
      <c r="J332" s="392">
        <v>98.58</v>
      </c>
      <c r="K332" s="392">
        <f t="shared" si="11"/>
        <v>98.580000000000013</v>
      </c>
    </row>
    <row r="333" spans="5:11">
      <c r="E333" s="392">
        <v>113.685</v>
      </c>
      <c r="F333" s="392">
        <v>2.71</v>
      </c>
      <c r="G333" s="392">
        <f t="shared" si="10"/>
        <v>2.71</v>
      </c>
      <c r="I333" s="392">
        <v>3.29</v>
      </c>
      <c r="J333" s="392">
        <v>98.314999999999998</v>
      </c>
      <c r="K333" s="392">
        <f t="shared" si="11"/>
        <v>98.314999999999998</v>
      </c>
    </row>
    <row r="334" spans="5:11">
      <c r="E334" s="392">
        <v>113.94999999999999</v>
      </c>
      <c r="F334" s="392">
        <v>2.7</v>
      </c>
      <c r="G334" s="392">
        <f t="shared" si="10"/>
        <v>2.7</v>
      </c>
      <c r="I334" s="392">
        <v>3.3</v>
      </c>
      <c r="J334" s="392">
        <v>98.050000000000011</v>
      </c>
      <c r="K334" s="392">
        <f t="shared" si="11"/>
        <v>98.050000000000011</v>
      </c>
    </row>
    <row r="335" spans="5:11">
      <c r="E335" s="392">
        <v>114.215</v>
      </c>
      <c r="F335" s="392">
        <v>2.69</v>
      </c>
      <c r="G335" s="392">
        <f t="shared" si="10"/>
        <v>2.6900000000000004</v>
      </c>
      <c r="I335" s="392">
        <v>3.31</v>
      </c>
      <c r="J335" s="392">
        <v>97.784999999999997</v>
      </c>
      <c r="K335" s="392">
        <f t="shared" si="11"/>
        <v>97.784999999999997</v>
      </c>
    </row>
    <row r="336" spans="5:11">
      <c r="E336" s="392">
        <v>114.47999999999999</v>
      </c>
      <c r="F336" s="392">
        <v>2.68</v>
      </c>
      <c r="G336" s="392">
        <f t="shared" si="10"/>
        <v>2.6800000000000006</v>
      </c>
      <c r="I336" s="392">
        <v>3.32</v>
      </c>
      <c r="J336" s="392">
        <v>97.52000000000001</v>
      </c>
      <c r="K336" s="392">
        <f t="shared" si="11"/>
        <v>97.52000000000001</v>
      </c>
    </row>
    <row r="337" spans="5:11">
      <c r="E337" s="392">
        <v>114.745</v>
      </c>
      <c r="F337" s="392">
        <v>2.67</v>
      </c>
      <c r="G337" s="392">
        <f t="shared" si="10"/>
        <v>2.67</v>
      </c>
      <c r="I337" s="392">
        <v>3.33</v>
      </c>
      <c r="J337" s="392">
        <v>97.254999999999995</v>
      </c>
      <c r="K337" s="392">
        <f t="shared" si="11"/>
        <v>97.254999999999995</v>
      </c>
    </row>
    <row r="338" spans="5:11">
      <c r="E338" s="392">
        <v>115.00999999999999</v>
      </c>
      <c r="F338" s="392">
        <v>2.66</v>
      </c>
      <c r="G338" s="392">
        <f t="shared" si="10"/>
        <v>2.66</v>
      </c>
      <c r="I338" s="392">
        <v>3.34</v>
      </c>
      <c r="J338" s="392">
        <v>96.990000000000009</v>
      </c>
      <c r="K338" s="392">
        <f t="shared" si="11"/>
        <v>96.990000000000009</v>
      </c>
    </row>
    <row r="339" spans="5:11">
      <c r="E339" s="392">
        <v>115.27500000000001</v>
      </c>
      <c r="F339" s="392">
        <v>2.65</v>
      </c>
      <c r="G339" s="392">
        <f t="shared" si="10"/>
        <v>2.6500000000000004</v>
      </c>
      <c r="I339" s="392">
        <v>3.35</v>
      </c>
      <c r="J339" s="392">
        <v>96.724999999999994</v>
      </c>
      <c r="K339" s="392">
        <f t="shared" si="11"/>
        <v>96.724999999999994</v>
      </c>
    </row>
    <row r="340" spans="5:11">
      <c r="E340" s="392">
        <v>115.53999999999999</v>
      </c>
      <c r="F340" s="392">
        <v>2.64</v>
      </c>
      <c r="G340" s="392">
        <f t="shared" si="10"/>
        <v>2.6400000000000006</v>
      </c>
      <c r="I340" s="392">
        <v>3.36</v>
      </c>
      <c r="J340" s="392">
        <v>96.460000000000008</v>
      </c>
      <c r="K340" s="392">
        <f t="shared" si="11"/>
        <v>96.460000000000008</v>
      </c>
    </row>
    <row r="341" spans="5:11">
      <c r="E341" s="392">
        <v>115.80500000000001</v>
      </c>
      <c r="F341" s="392">
        <v>2.63</v>
      </c>
      <c r="G341" s="392">
        <f t="shared" si="10"/>
        <v>2.63</v>
      </c>
      <c r="I341" s="392">
        <v>3.37</v>
      </c>
      <c r="J341" s="392">
        <v>96.194999999999993</v>
      </c>
      <c r="K341" s="392">
        <f t="shared" si="11"/>
        <v>96.195000000000007</v>
      </c>
    </row>
    <row r="342" spans="5:11">
      <c r="E342" s="392">
        <v>116.07</v>
      </c>
      <c r="F342" s="392">
        <v>2.62</v>
      </c>
      <c r="G342" s="392">
        <f t="shared" si="10"/>
        <v>2.62</v>
      </c>
      <c r="I342" s="392">
        <v>3.38</v>
      </c>
      <c r="J342" s="392">
        <v>95.93</v>
      </c>
      <c r="K342" s="392">
        <f t="shared" si="11"/>
        <v>95.93</v>
      </c>
    </row>
    <row r="343" spans="5:11">
      <c r="E343" s="392">
        <v>116.33500000000001</v>
      </c>
      <c r="F343" s="392">
        <v>2.61</v>
      </c>
      <c r="G343" s="392">
        <f t="shared" si="10"/>
        <v>2.6099999999999994</v>
      </c>
      <c r="I343" s="392">
        <v>3.39</v>
      </c>
      <c r="J343" s="392">
        <v>95.664999999999992</v>
      </c>
      <c r="K343" s="392">
        <f t="shared" si="11"/>
        <v>95.665000000000006</v>
      </c>
    </row>
    <row r="344" spans="5:11">
      <c r="E344" s="392">
        <v>116.6</v>
      </c>
      <c r="F344" s="392">
        <v>2.6</v>
      </c>
      <c r="G344" s="392">
        <f t="shared" si="10"/>
        <v>2.6000000000000005</v>
      </c>
      <c r="I344" s="392">
        <v>3.4</v>
      </c>
      <c r="J344" s="392">
        <v>95.4</v>
      </c>
      <c r="K344" s="392">
        <f t="shared" si="11"/>
        <v>95.4</v>
      </c>
    </row>
    <row r="345" spans="5:11">
      <c r="E345" s="392">
        <v>116.86500000000001</v>
      </c>
      <c r="F345" s="392">
        <v>2.59</v>
      </c>
      <c r="G345" s="392">
        <f t="shared" si="10"/>
        <v>2.59</v>
      </c>
      <c r="I345" s="392">
        <v>3.41</v>
      </c>
      <c r="J345" s="392">
        <v>95.134999999999991</v>
      </c>
      <c r="K345" s="392">
        <f t="shared" si="11"/>
        <v>95.135000000000005</v>
      </c>
    </row>
    <row r="346" spans="5:11">
      <c r="E346" s="392">
        <v>117.13</v>
      </c>
      <c r="F346" s="392">
        <v>2.58</v>
      </c>
      <c r="G346" s="392">
        <f t="shared" si="10"/>
        <v>2.58</v>
      </c>
      <c r="I346" s="392">
        <v>3.42</v>
      </c>
      <c r="J346" s="392">
        <v>94.87</v>
      </c>
      <c r="K346" s="392">
        <f t="shared" si="11"/>
        <v>94.87</v>
      </c>
    </row>
    <row r="347" spans="5:11">
      <c r="E347" s="392">
        <v>117.39500000000001</v>
      </c>
      <c r="F347" s="392">
        <v>2.57</v>
      </c>
      <c r="G347" s="392">
        <f t="shared" si="10"/>
        <v>2.5699999999999994</v>
      </c>
      <c r="I347" s="392">
        <v>3.43</v>
      </c>
      <c r="J347" s="392">
        <v>94.60499999999999</v>
      </c>
      <c r="K347" s="392">
        <f t="shared" si="11"/>
        <v>94.605000000000004</v>
      </c>
    </row>
    <row r="348" spans="5:11">
      <c r="E348" s="392">
        <v>117.66</v>
      </c>
      <c r="F348" s="392">
        <v>2.56</v>
      </c>
      <c r="G348" s="392">
        <f t="shared" si="10"/>
        <v>2.5600000000000005</v>
      </c>
      <c r="I348" s="392">
        <v>3.44</v>
      </c>
      <c r="J348" s="392">
        <v>94.34</v>
      </c>
      <c r="K348" s="392">
        <f t="shared" si="11"/>
        <v>94.34</v>
      </c>
    </row>
    <row r="349" spans="5:11">
      <c r="E349" s="392">
        <v>117.92500000000001</v>
      </c>
      <c r="F349" s="392">
        <v>2.5499999999999998</v>
      </c>
      <c r="G349" s="392">
        <f t="shared" si="10"/>
        <v>2.5499999999999998</v>
      </c>
      <c r="I349" s="392">
        <v>3.45</v>
      </c>
      <c r="J349" s="392">
        <v>94.074999999999989</v>
      </c>
      <c r="K349" s="392">
        <f t="shared" si="11"/>
        <v>94.075000000000003</v>
      </c>
    </row>
    <row r="350" spans="5:11">
      <c r="E350" s="392">
        <v>118.19</v>
      </c>
      <c r="F350" s="392">
        <v>2.54</v>
      </c>
      <c r="G350" s="392">
        <f t="shared" si="10"/>
        <v>2.54</v>
      </c>
      <c r="I350" s="392">
        <v>3.46</v>
      </c>
      <c r="J350" s="392">
        <v>93.81</v>
      </c>
      <c r="K350" s="392">
        <f t="shared" si="11"/>
        <v>93.81</v>
      </c>
    </row>
    <row r="351" spans="5:11">
      <c r="E351" s="392">
        <v>118.455</v>
      </c>
      <c r="F351" s="392">
        <v>2.5299999999999998</v>
      </c>
      <c r="G351" s="392">
        <f t="shared" si="10"/>
        <v>2.5300000000000002</v>
      </c>
      <c r="I351" s="392">
        <v>3.47</v>
      </c>
      <c r="J351" s="392">
        <v>93.545000000000002</v>
      </c>
      <c r="K351" s="392">
        <f t="shared" si="11"/>
        <v>93.545000000000002</v>
      </c>
    </row>
    <row r="352" spans="5:11">
      <c r="E352" s="392">
        <v>118.72</v>
      </c>
      <c r="F352" s="392">
        <v>2.52</v>
      </c>
      <c r="G352" s="392">
        <f t="shared" si="10"/>
        <v>2.5200000000000005</v>
      </c>
      <c r="I352" s="392">
        <v>3.48</v>
      </c>
      <c r="J352" s="392">
        <v>93.28</v>
      </c>
      <c r="K352" s="392">
        <f t="shared" si="11"/>
        <v>93.28</v>
      </c>
    </row>
    <row r="353" spans="5:11">
      <c r="E353" s="392">
        <v>118.985</v>
      </c>
      <c r="F353" s="392">
        <v>2.5099999999999998</v>
      </c>
      <c r="G353" s="392">
        <f t="shared" si="10"/>
        <v>2.5099999999999998</v>
      </c>
      <c r="I353" s="392">
        <v>3.49</v>
      </c>
      <c r="J353" s="392">
        <v>93.015000000000001</v>
      </c>
      <c r="K353" s="392">
        <f t="shared" si="11"/>
        <v>93.015000000000001</v>
      </c>
    </row>
    <row r="354" spans="5:11">
      <c r="E354" s="392">
        <v>119.25</v>
      </c>
      <c r="F354" s="392">
        <v>2.5</v>
      </c>
      <c r="G354" s="392">
        <f t="shared" si="10"/>
        <v>2.5</v>
      </c>
      <c r="I354" s="392">
        <v>3.5</v>
      </c>
      <c r="J354" s="392">
        <v>92.75</v>
      </c>
      <c r="K354" s="392">
        <f t="shared" si="11"/>
        <v>92.75</v>
      </c>
    </row>
    <row r="355" spans="5:11">
      <c r="E355" s="392">
        <v>119.515</v>
      </c>
      <c r="F355" s="392">
        <v>2.4900000000000002</v>
      </c>
      <c r="G355" s="392">
        <f t="shared" si="10"/>
        <v>2.4900000000000002</v>
      </c>
      <c r="I355" s="392">
        <v>3.51</v>
      </c>
      <c r="J355" s="392">
        <v>92.484999999999999</v>
      </c>
      <c r="K355" s="392">
        <f t="shared" si="11"/>
        <v>92.485000000000014</v>
      </c>
    </row>
    <row r="356" spans="5:11">
      <c r="E356" s="392">
        <v>119.78</v>
      </c>
      <c r="F356" s="392">
        <v>2.48</v>
      </c>
      <c r="G356" s="392">
        <f t="shared" si="10"/>
        <v>2.4800000000000004</v>
      </c>
      <c r="I356" s="392">
        <v>3.52</v>
      </c>
      <c r="J356" s="392">
        <v>92.22</v>
      </c>
      <c r="K356" s="392">
        <f t="shared" si="11"/>
        <v>92.22</v>
      </c>
    </row>
    <row r="357" spans="5:11">
      <c r="E357" s="392">
        <v>120.045</v>
      </c>
      <c r="F357" s="392">
        <v>2.4700000000000002</v>
      </c>
      <c r="G357" s="392">
        <f t="shared" si="10"/>
        <v>2.4699999999999998</v>
      </c>
      <c r="I357" s="392">
        <v>3.53</v>
      </c>
      <c r="J357" s="392">
        <v>91.954999999999998</v>
      </c>
      <c r="K357" s="392">
        <f t="shared" si="11"/>
        <v>91.955000000000013</v>
      </c>
    </row>
    <row r="358" spans="5:11">
      <c r="E358" s="392">
        <v>120.31</v>
      </c>
      <c r="F358" s="392">
        <v>2.46</v>
      </c>
      <c r="G358" s="392">
        <f t="shared" si="10"/>
        <v>2.46</v>
      </c>
      <c r="I358" s="392">
        <v>3.54</v>
      </c>
      <c r="J358" s="392">
        <v>91.69</v>
      </c>
      <c r="K358" s="392">
        <f t="shared" si="11"/>
        <v>91.69</v>
      </c>
    </row>
    <row r="359" spans="5:11">
      <c r="E359" s="392">
        <v>120.57499999999999</v>
      </c>
      <c r="F359" s="392">
        <v>2.4500000000000002</v>
      </c>
      <c r="G359" s="392">
        <f t="shared" si="10"/>
        <v>2.4500000000000002</v>
      </c>
      <c r="I359" s="392">
        <v>3.55</v>
      </c>
      <c r="J359" s="392">
        <v>91.425000000000011</v>
      </c>
      <c r="K359" s="392">
        <f t="shared" si="11"/>
        <v>91.425000000000011</v>
      </c>
    </row>
    <row r="360" spans="5:11">
      <c r="E360" s="392">
        <v>120.84</v>
      </c>
      <c r="F360" s="392">
        <v>2.44</v>
      </c>
      <c r="G360" s="392">
        <f t="shared" si="10"/>
        <v>2.4400000000000004</v>
      </c>
      <c r="I360" s="392">
        <v>3.56</v>
      </c>
      <c r="J360" s="392">
        <v>91.16</v>
      </c>
      <c r="K360" s="392">
        <f t="shared" si="11"/>
        <v>91.16</v>
      </c>
    </row>
    <row r="361" spans="5:11">
      <c r="E361" s="392">
        <v>121.10499999999999</v>
      </c>
      <c r="F361" s="392">
        <v>2.4300000000000002</v>
      </c>
      <c r="G361" s="392">
        <f t="shared" si="10"/>
        <v>2.4300000000000006</v>
      </c>
      <c r="I361" s="392">
        <v>3.57</v>
      </c>
      <c r="J361" s="392">
        <v>90.89500000000001</v>
      </c>
      <c r="K361" s="392">
        <f t="shared" si="11"/>
        <v>90.89500000000001</v>
      </c>
    </row>
    <row r="362" spans="5:11">
      <c r="E362" s="392">
        <v>121.37</v>
      </c>
      <c r="F362" s="392">
        <v>2.42</v>
      </c>
      <c r="G362" s="392">
        <f t="shared" si="10"/>
        <v>2.42</v>
      </c>
      <c r="I362" s="392">
        <v>3.58</v>
      </c>
      <c r="J362" s="392">
        <v>90.63</v>
      </c>
      <c r="K362" s="392">
        <f t="shared" si="11"/>
        <v>90.63</v>
      </c>
    </row>
    <row r="363" spans="5:11">
      <c r="E363" s="392">
        <v>121.63499999999999</v>
      </c>
      <c r="F363" s="392">
        <v>2.41</v>
      </c>
      <c r="G363" s="392">
        <f t="shared" si="10"/>
        <v>2.41</v>
      </c>
      <c r="I363" s="392">
        <v>3.59</v>
      </c>
      <c r="J363" s="392">
        <v>90.365000000000009</v>
      </c>
      <c r="K363" s="392">
        <f t="shared" si="11"/>
        <v>90.365000000000009</v>
      </c>
    </row>
    <row r="364" spans="5:11">
      <c r="E364" s="392">
        <v>121.9</v>
      </c>
      <c r="F364" s="392">
        <v>2.4</v>
      </c>
      <c r="G364" s="392">
        <f t="shared" si="10"/>
        <v>2.4000000000000004</v>
      </c>
      <c r="I364" s="392">
        <v>3.6</v>
      </c>
      <c r="J364" s="392">
        <v>90.1</v>
      </c>
      <c r="K364" s="392">
        <f t="shared" si="11"/>
        <v>90.1</v>
      </c>
    </row>
    <row r="365" spans="5:11">
      <c r="E365" s="392">
        <v>122.16499999999999</v>
      </c>
      <c r="F365" s="392">
        <v>2.39</v>
      </c>
      <c r="G365" s="392">
        <f t="shared" si="10"/>
        <v>2.3900000000000006</v>
      </c>
      <c r="I365" s="392">
        <v>3.61</v>
      </c>
      <c r="J365" s="392">
        <v>89.835000000000008</v>
      </c>
      <c r="K365" s="392">
        <f t="shared" si="11"/>
        <v>89.835000000000008</v>
      </c>
    </row>
    <row r="366" spans="5:11">
      <c r="E366" s="392">
        <v>122.43</v>
      </c>
      <c r="F366" s="392">
        <v>2.38</v>
      </c>
      <c r="G366" s="392">
        <f t="shared" si="10"/>
        <v>2.38</v>
      </c>
      <c r="I366" s="392">
        <v>3.62</v>
      </c>
      <c r="J366" s="392">
        <v>89.57</v>
      </c>
      <c r="K366" s="392">
        <f t="shared" si="11"/>
        <v>89.570000000000007</v>
      </c>
    </row>
    <row r="367" spans="5:11">
      <c r="E367" s="392">
        <v>122.69499999999999</v>
      </c>
      <c r="F367" s="392">
        <v>2.37</v>
      </c>
      <c r="G367" s="392">
        <f t="shared" si="10"/>
        <v>2.37</v>
      </c>
      <c r="I367" s="392">
        <v>3.63</v>
      </c>
      <c r="J367" s="392">
        <v>89.305000000000007</v>
      </c>
      <c r="K367" s="392">
        <f t="shared" si="11"/>
        <v>89.305000000000007</v>
      </c>
    </row>
    <row r="368" spans="5:11">
      <c r="E368" s="392">
        <v>122.96000000000001</v>
      </c>
      <c r="F368" s="392">
        <v>2.36</v>
      </c>
      <c r="G368" s="392">
        <f t="shared" si="10"/>
        <v>2.3600000000000003</v>
      </c>
      <c r="I368" s="392">
        <v>3.64</v>
      </c>
      <c r="J368" s="392">
        <v>89.039999999999992</v>
      </c>
      <c r="K368" s="392">
        <f t="shared" si="11"/>
        <v>89.04</v>
      </c>
    </row>
    <row r="369" spans="5:11">
      <c r="E369" s="392">
        <v>123.22499999999999</v>
      </c>
      <c r="F369" s="392">
        <v>2.35</v>
      </c>
      <c r="G369" s="392">
        <f t="shared" si="10"/>
        <v>2.3500000000000005</v>
      </c>
      <c r="I369" s="392">
        <v>3.65</v>
      </c>
      <c r="J369" s="392">
        <v>88.775000000000006</v>
      </c>
      <c r="K369" s="392">
        <f t="shared" si="11"/>
        <v>88.775000000000006</v>
      </c>
    </row>
    <row r="370" spans="5:11">
      <c r="E370" s="392">
        <v>123.49000000000001</v>
      </c>
      <c r="F370" s="392">
        <v>2.34</v>
      </c>
      <c r="G370" s="392">
        <f t="shared" si="10"/>
        <v>2.34</v>
      </c>
      <c r="I370" s="392">
        <v>3.66</v>
      </c>
      <c r="J370" s="392">
        <v>88.509999999999991</v>
      </c>
      <c r="K370" s="392">
        <f t="shared" si="11"/>
        <v>88.51</v>
      </c>
    </row>
    <row r="371" spans="5:11">
      <c r="E371" s="392">
        <v>123.755</v>
      </c>
      <c r="F371" s="392">
        <v>2.33</v>
      </c>
      <c r="G371" s="392">
        <f t="shared" si="10"/>
        <v>2.33</v>
      </c>
      <c r="I371" s="392">
        <v>3.67</v>
      </c>
      <c r="J371" s="392">
        <v>88.245000000000005</v>
      </c>
      <c r="K371" s="392">
        <f t="shared" si="11"/>
        <v>88.245000000000005</v>
      </c>
    </row>
    <row r="372" spans="5:11">
      <c r="E372" s="392">
        <v>124.02000000000001</v>
      </c>
      <c r="F372" s="392">
        <v>2.3199999999999998</v>
      </c>
      <c r="G372" s="392">
        <f t="shared" si="10"/>
        <v>2.3199999999999994</v>
      </c>
      <c r="I372" s="392">
        <v>3.68</v>
      </c>
      <c r="J372" s="392">
        <v>87.97999999999999</v>
      </c>
      <c r="K372" s="392">
        <f t="shared" si="11"/>
        <v>87.98</v>
      </c>
    </row>
    <row r="373" spans="5:11">
      <c r="E373" s="392">
        <v>124.285</v>
      </c>
      <c r="F373" s="392">
        <v>2.31</v>
      </c>
      <c r="G373" s="392">
        <f t="shared" si="10"/>
        <v>2.3100000000000005</v>
      </c>
      <c r="I373" s="392">
        <v>3.69</v>
      </c>
      <c r="J373" s="392">
        <v>87.715000000000003</v>
      </c>
      <c r="K373" s="392">
        <f t="shared" si="11"/>
        <v>87.715000000000003</v>
      </c>
    </row>
    <row r="374" spans="5:11">
      <c r="E374" s="392">
        <v>124.55000000000001</v>
      </c>
      <c r="F374" s="392">
        <v>2.2999999999999998</v>
      </c>
      <c r="G374" s="392">
        <f t="shared" si="10"/>
        <v>2.2999999999999998</v>
      </c>
      <c r="I374" s="392">
        <v>3.7</v>
      </c>
      <c r="J374" s="392">
        <v>87.449999999999989</v>
      </c>
      <c r="K374" s="392">
        <f t="shared" si="11"/>
        <v>87.45</v>
      </c>
    </row>
    <row r="375" spans="5:11">
      <c r="E375" s="392">
        <v>124.815</v>
      </c>
      <c r="F375" s="392">
        <v>2.29</v>
      </c>
      <c r="G375" s="392">
        <f t="shared" si="10"/>
        <v>2.29</v>
      </c>
      <c r="I375" s="392">
        <v>3.71</v>
      </c>
      <c r="J375" s="392">
        <v>87.185000000000002</v>
      </c>
      <c r="K375" s="392">
        <f t="shared" si="11"/>
        <v>87.185000000000002</v>
      </c>
    </row>
    <row r="376" spans="5:11">
      <c r="E376" s="392">
        <v>125.08000000000001</v>
      </c>
      <c r="F376" s="392">
        <v>2.2799999999999998</v>
      </c>
      <c r="G376" s="392">
        <f t="shared" si="10"/>
        <v>2.2799999999999994</v>
      </c>
      <c r="I376" s="392">
        <v>3.72</v>
      </c>
      <c r="J376" s="392">
        <v>86.92</v>
      </c>
      <c r="K376" s="392">
        <f t="shared" si="11"/>
        <v>86.92</v>
      </c>
    </row>
    <row r="377" spans="5:11">
      <c r="E377" s="392">
        <v>125.345</v>
      </c>
      <c r="F377" s="392">
        <v>2.27</v>
      </c>
      <c r="G377" s="392">
        <f t="shared" si="10"/>
        <v>2.2700000000000005</v>
      </c>
      <c r="I377" s="392">
        <v>3.73</v>
      </c>
      <c r="J377" s="392">
        <v>86.655000000000001</v>
      </c>
      <c r="K377" s="392">
        <f t="shared" si="11"/>
        <v>86.655000000000001</v>
      </c>
    </row>
    <row r="378" spans="5:11">
      <c r="E378" s="392">
        <v>125.61000000000001</v>
      </c>
      <c r="F378" s="392">
        <v>2.2599999999999998</v>
      </c>
      <c r="G378" s="392">
        <f t="shared" si="10"/>
        <v>2.2599999999999998</v>
      </c>
      <c r="I378" s="392">
        <v>3.74</v>
      </c>
      <c r="J378" s="392">
        <v>86.39</v>
      </c>
      <c r="K378" s="392">
        <f t="shared" si="11"/>
        <v>86.39</v>
      </c>
    </row>
    <row r="379" spans="5:11">
      <c r="E379" s="392">
        <v>125.875</v>
      </c>
      <c r="F379" s="392">
        <v>2.25</v>
      </c>
      <c r="G379" s="392">
        <f t="shared" si="10"/>
        <v>2.25</v>
      </c>
      <c r="I379" s="392">
        <v>3.75</v>
      </c>
      <c r="J379" s="392">
        <v>86.125</v>
      </c>
      <c r="K379" s="392">
        <f t="shared" si="11"/>
        <v>86.125</v>
      </c>
    </row>
    <row r="380" spans="5:11">
      <c r="E380" s="392">
        <v>126.13999999999999</v>
      </c>
      <c r="F380" s="392">
        <v>2.2400000000000002</v>
      </c>
      <c r="G380" s="392">
        <f t="shared" si="10"/>
        <v>2.2400000000000011</v>
      </c>
      <c r="I380" s="392">
        <v>3.76</v>
      </c>
      <c r="J380" s="392">
        <v>85.86</v>
      </c>
      <c r="K380" s="392">
        <f t="shared" si="11"/>
        <v>85.860000000000014</v>
      </c>
    </row>
    <row r="381" spans="5:11">
      <c r="E381" s="392">
        <v>126.405</v>
      </c>
      <c r="F381" s="392">
        <v>2.23</v>
      </c>
      <c r="G381" s="392">
        <f t="shared" si="10"/>
        <v>2.2300000000000004</v>
      </c>
      <c r="I381" s="392">
        <v>3.77</v>
      </c>
      <c r="J381" s="392">
        <v>85.594999999999999</v>
      </c>
      <c r="K381" s="392">
        <f t="shared" si="11"/>
        <v>85.594999999999999</v>
      </c>
    </row>
    <row r="382" spans="5:11">
      <c r="E382" s="392">
        <v>126.66999999999999</v>
      </c>
      <c r="F382" s="392">
        <v>2.2200000000000002</v>
      </c>
      <c r="G382" s="392">
        <f t="shared" si="10"/>
        <v>2.2200000000000006</v>
      </c>
      <c r="I382" s="392">
        <v>3.78</v>
      </c>
      <c r="J382" s="392">
        <v>85.33</v>
      </c>
      <c r="K382" s="392">
        <f t="shared" si="11"/>
        <v>85.330000000000013</v>
      </c>
    </row>
    <row r="383" spans="5:11">
      <c r="E383" s="392">
        <v>126.935</v>
      </c>
      <c r="F383" s="392">
        <v>2.21</v>
      </c>
      <c r="G383" s="392">
        <f t="shared" si="10"/>
        <v>2.21</v>
      </c>
      <c r="I383" s="392">
        <v>3.79</v>
      </c>
      <c r="J383" s="392">
        <v>85.064999999999998</v>
      </c>
      <c r="K383" s="392">
        <f t="shared" si="11"/>
        <v>85.064999999999998</v>
      </c>
    </row>
    <row r="384" spans="5:11">
      <c r="E384" s="392">
        <v>127.19999999999999</v>
      </c>
      <c r="F384" s="392">
        <v>2.2000000000000002</v>
      </c>
      <c r="G384" s="392">
        <f t="shared" si="10"/>
        <v>2.2000000000000002</v>
      </c>
      <c r="I384" s="392">
        <v>3.8</v>
      </c>
      <c r="J384" s="392">
        <v>84.800000000000011</v>
      </c>
      <c r="K384" s="392">
        <f t="shared" si="11"/>
        <v>84.800000000000011</v>
      </c>
    </row>
    <row r="385" spans="5:11">
      <c r="E385" s="392">
        <v>127.465</v>
      </c>
      <c r="F385" s="392">
        <v>2.19</v>
      </c>
      <c r="G385" s="392">
        <f t="shared" si="10"/>
        <v>2.1900000000000004</v>
      </c>
      <c r="I385" s="392">
        <v>3.81</v>
      </c>
      <c r="J385" s="392">
        <v>84.534999999999997</v>
      </c>
      <c r="K385" s="392">
        <f t="shared" si="11"/>
        <v>84.534999999999997</v>
      </c>
    </row>
    <row r="386" spans="5:11">
      <c r="E386" s="392">
        <v>127.72999999999999</v>
      </c>
      <c r="F386" s="392">
        <v>2.1800000000000002</v>
      </c>
      <c r="G386" s="392">
        <f t="shared" si="10"/>
        <v>2.1800000000000006</v>
      </c>
      <c r="I386" s="392">
        <v>3.82</v>
      </c>
      <c r="J386" s="392">
        <v>84.27000000000001</v>
      </c>
      <c r="K386" s="392">
        <f t="shared" si="11"/>
        <v>84.27000000000001</v>
      </c>
    </row>
    <row r="387" spans="5:11">
      <c r="E387" s="392">
        <v>127.995</v>
      </c>
      <c r="F387" s="392">
        <v>2.17</v>
      </c>
      <c r="G387" s="392">
        <f t="shared" si="10"/>
        <v>2.17</v>
      </c>
      <c r="I387" s="392">
        <v>3.83</v>
      </c>
      <c r="J387" s="392">
        <v>84.004999999999995</v>
      </c>
      <c r="K387" s="392">
        <f t="shared" si="11"/>
        <v>84.004999999999995</v>
      </c>
    </row>
    <row r="388" spans="5:11">
      <c r="E388" s="392">
        <v>128.26</v>
      </c>
      <c r="F388" s="392">
        <v>2.16</v>
      </c>
      <c r="G388" s="392">
        <f t="shared" si="10"/>
        <v>2.16</v>
      </c>
      <c r="I388" s="392">
        <v>3.84</v>
      </c>
      <c r="J388" s="392">
        <v>83.740000000000009</v>
      </c>
      <c r="K388" s="392">
        <f t="shared" si="11"/>
        <v>83.740000000000009</v>
      </c>
    </row>
    <row r="389" spans="5:11">
      <c r="E389" s="392">
        <v>128.52500000000001</v>
      </c>
      <c r="F389" s="392">
        <v>2.15</v>
      </c>
      <c r="G389" s="392">
        <f t="shared" ref="G389:G452" si="12">E389*(-6/159)+7</f>
        <v>2.1500000000000004</v>
      </c>
      <c r="I389" s="392">
        <v>3.85</v>
      </c>
      <c r="J389" s="392">
        <v>83.474999999999994</v>
      </c>
      <c r="K389" s="392">
        <f t="shared" ref="K389:K452" si="13">(I389-7)/(-6/159)</f>
        <v>83.474999999999994</v>
      </c>
    </row>
    <row r="390" spans="5:11">
      <c r="E390" s="392">
        <v>128.79</v>
      </c>
      <c r="F390" s="392">
        <v>2.14</v>
      </c>
      <c r="G390" s="392">
        <f t="shared" si="12"/>
        <v>2.1400000000000006</v>
      </c>
      <c r="I390" s="392">
        <v>3.86</v>
      </c>
      <c r="J390" s="392">
        <v>83.210000000000008</v>
      </c>
      <c r="K390" s="392">
        <f t="shared" si="13"/>
        <v>83.210000000000008</v>
      </c>
    </row>
    <row r="391" spans="5:11">
      <c r="E391" s="392">
        <v>129.05500000000001</v>
      </c>
      <c r="F391" s="392">
        <v>2.13</v>
      </c>
      <c r="G391" s="392">
        <f t="shared" si="12"/>
        <v>2.13</v>
      </c>
      <c r="I391" s="392">
        <v>3.87</v>
      </c>
      <c r="J391" s="392">
        <v>82.944999999999993</v>
      </c>
      <c r="K391" s="392">
        <f t="shared" si="13"/>
        <v>82.945000000000007</v>
      </c>
    </row>
    <row r="392" spans="5:11">
      <c r="E392" s="392">
        <v>129.32</v>
      </c>
      <c r="F392" s="392">
        <v>2.12</v>
      </c>
      <c r="G392" s="392">
        <f t="shared" si="12"/>
        <v>2.12</v>
      </c>
      <c r="I392" s="392">
        <v>3.88</v>
      </c>
      <c r="J392" s="392">
        <v>82.68</v>
      </c>
      <c r="K392" s="392">
        <f t="shared" si="13"/>
        <v>82.68</v>
      </c>
    </row>
    <row r="393" spans="5:11">
      <c r="E393" s="392">
        <v>129.58500000000001</v>
      </c>
      <c r="F393" s="392">
        <v>2.11</v>
      </c>
      <c r="G393" s="392">
        <f t="shared" si="12"/>
        <v>2.1100000000000003</v>
      </c>
      <c r="I393" s="392">
        <v>3.89</v>
      </c>
      <c r="J393" s="392">
        <v>82.414999999999992</v>
      </c>
      <c r="K393" s="392">
        <f t="shared" si="13"/>
        <v>82.415000000000006</v>
      </c>
    </row>
    <row r="394" spans="5:11">
      <c r="E394" s="392">
        <v>129.85</v>
      </c>
      <c r="F394" s="392">
        <v>2.1</v>
      </c>
      <c r="G394" s="392">
        <f t="shared" si="12"/>
        <v>2.1000000000000005</v>
      </c>
      <c r="I394" s="392">
        <v>3.9</v>
      </c>
      <c r="J394" s="392">
        <v>82.15</v>
      </c>
      <c r="K394" s="392">
        <f t="shared" si="13"/>
        <v>82.15</v>
      </c>
    </row>
    <row r="395" spans="5:11">
      <c r="E395" s="392">
        <v>130.11500000000001</v>
      </c>
      <c r="F395" s="392">
        <v>2.09</v>
      </c>
      <c r="G395" s="392">
        <f t="shared" si="12"/>
        <v>2.09</v>
      </c>
      <c r="I395" s="392">
        <v>3.91</v>
      </c>
      <c r="J395" s="392">
        <v>81.884999999999991</v>
      </c>
      <c r="K395" s="392">
        <f t="shared" si="13"/>
        <v>81.885000000000005</v>
      </c>
    </row>
    <row r="396" spans="5:11">
      <c r="E396" s="392">
        <v>130.38</v>
      </c>
      <c r="F396" s="392">
        <v>2.08</v>
      </c>
      <c r="G396" s="392">
        <f t="shared" si="12"/>
        <v>2.08</v>
      </c>
      <c r="I396" s="392">
        <v>3.92</v>
      </c>
      <c r="J396" s="392">
        <v>81.62</v>
      </c>
      <c r="K396" s="392">
        <f t="shared" si="13"/>
        <v>81.62</v>
      </c>
    </row>
    <row r="397" spans="5:11">
      <c r="E397" s="392">
        <v>130.64500000000001</v>
      </c>
      <c r="F397" s="392">
        <v>2.0699999999999998</v>
      </c>
      <c r="G397" s="392">
        <f t="shared" si="12"/>
        <v>2.0699999999999994</v>
      </c>
      <c r="I397" s="392">
        <v>3.93</v>
      </c>
      <c r="J397" s="392">
        <v>81.35499999999999</v>
      </c>
      <c r="K397" s="392">
        <f t="shared" si="13"/>
        <v>81.355000000000004</v>
      </c>
    </row>
    <row r="398" spans="5:11">
      <c r="E398" s="392">
        <v>130.91</v>
      </c>
      <c r="F398" s="392">
        <v>2.06</v>
      </c>
      <c r="G398" s="392">
        <f t="shared" si="12"/>
        <v>2.0600000000000005</v>
      </c>
      <c r="I398" s="392">
        <v>3.94</v>
      </c>
      <c r="J398" s="392">
        <v>81.09</v>
      </c>
      <c r="K398" s="392">
        <f t="shared" si="13"/>
        <v>81.09</v>
      </c>
    </row>
    <row r="399" spans="5:11">
      <c r="E399" s="392">
        <v>131.17500000000001</v>
      </c>
      <c r="F399" s="392">
        <v>2.0499999999999998</v>
      </c>
      <c r="G399" s="392">
        <f t="shared" si="12"/>
        <v>2.0499999999999998</v>
      </c>
      <c r="I399" s="392">
        <v>3.95</v>
      </c>
      <c r="J399" s="392">
        <v>80.824999999999989</v>
      </c>
      <c r="K399" s="392">
        <f t="shared" si="13"/>
        <v>80.825000000000003</v>
      </c>
    </row>
    <row r="400" spans="5:11">
      <c r="E400" s="392">
        <v>131.44</v>
      </c>
      <c r="F400" s="392">
        <v>2.04</v>
      </c>
      <c r="G400" s="392">
        <f t="shared" si="12"/>
        <v>2.04</v>
      </c>
      <c r="I400" s="392">
        <v>3.96</v>
      </c>
      <c r="J400" s="392">
        <v>80.56</v>
      </c>
      <c r="K400" s="392">
        <f t="shared" si="13"/>
        <v>80.56</v>
      </c>
    </row>
    <row r="401" spans="5:11">
      <c r="E401" s="392">
        <v>131.70500000000001</v>
      </c>
      <c r="F401" s="392">
        <v>2.0299999999999998</v>
      </c>
      <c r="G401" s="392">
        <f t="shared" si="12"/>
        <v>2.0299999999999994</v>
      </c>
      <c r="I401" s="392">
        <v>3.97</v>
      </c>
      <c r="J401" s="392">
        <v>80.295000000000002</v>
      </c>
      <c r="K401" s="392">
        <f t="shared" si="13"/>
        <v>80.295000000000002</v>
      </c>
    </row>
    <row r="402" spans="5:11">
      <c r="E402" s="392">
        <v>131.97</v>
      </c>
      <c r="F402" s="392">
        <v>2.02</v>
      </c>
      <c r="G402" s="392">
        <f t="shared" si="12"/>
        <v>2.0200000000000005</v>
      </c>
      <c r="I402" s="392">
        <v>3.98</v>
      </c>
      <c r="J402" s="392">
        <v>80.03</v>
      </c>
      <c r="K402" s="392">
        <f t="shared" si="13"/>
        <v>80.03</v>
      </c>
    </row>
    <row r="403" spans="5:11">
      <c r="E403" s="392">
        <v>132.23500000000001</v>
      </c>
      <c r="F403" s="392">
        <v>2.0099999999999998</v>
      </c>
      <c r="G403" s="392">
        <f t="shared" si="12"/>
        <v>2.0099999999999998</v>
      </c>
      <c r="I403" s="392">
        <v>3.99</v>
      </c>
      <c r="J403" s="392">
        <v>79.765000000000001</v>
      </c>
      <c r="K403" s="392">
        <f t="shared" si="13"/>
        <v>79.765000000000001</v>
      </c>
    </row>
    <row r="404" spans="5:11">
      <c r="E404" s="392">
        <v>132.5</v>
      </c>
      <c r="F404" s="392">
        <v>2</v>
      </c>
      <c r="G404" s="392">
        <f t="shared" si="12"/>
        <v>2</v>
      </c>
      <c r="I404" s="392">
        <v>4</v>
      </c>
      <c r="J404" s="392">
        <v>79.5</v>
      </c>
      <c r="K404" s="392">
        <f t="shared" si="13"/>
        <v>79.5</v>
      </c>
    </row>
    <row r="405" spans="5:11">
      <c r="E405" s="392">
        <v>132.76499999999999</v>
      </c>
      <c r="F405" s="392">
        <v>1.99</v>
      </c>
      <c r="G405" s="392">
        <f t="shared" si="12"/>
        <v>1.9900000000000011</v>
      </c>
      <c r="I405" s="392">
        <v>4.01</v>
      </c>
      <c r="J405" s="392">
        <v>79.234999999999999</v>
      </c>
      <c r="K405" s="392">
        <f t="shared" si="13"/>
        <v>79.235000000000014</v>
      </c>
    </row>
    <row r="406" spans="5:11">
      <c r="E406" s="392">
        <v>133.03</v>
      </c>
      <c r="F406" s="392">
        <v>1.98</v>
      </c>
      <c r="G406" s="392">
        <f t="shared" si="12"/>
        <v>1.9800000000000004</v>
      </c>
      <c r="I406" s="392">
        <v>4.0199999999999996</v>
      </c>
      <c r="J406" s="392">
        <v>78.970000000000013</v>
      </c>
      <c r="K406" s="392">
        <f t="shared" si="13"/>
        <v>78.970000000000013</v>
      </c>
    </row>
    <row r="407" spans="5:11">
      <c r="E407" s="392">
        <v>133.29500000000002</v>
      </c>
      <c r="F407" s="392">
        <v>1.97</v>
      </c>
      <c r="G407" s="392">
        <f t="shared" si="12"/>
        <v>1.9699999999999998</v>
      </c>
      <c r="I407" s="392">
        <v>4.03</v>
      </c>
      <c r="J407" s="392">
        <v>78.704999999999998</v>
      </c>
      <c r="K407" s="392">
        <f t="shared" si="13"/>
        <v>78.704999999999998</v>
      </c>
    </row>
    <row r="408" spans="5:11">
      <c r="E408" s="392">
        <v>133.56</v>
      </c>
      <c r="F408" s="392">
        <v>1.96</v>
      </c>
      <c r="G408" s="392">
        <f t="shared" si="12"/>
        <v>1.96</v>
      </c>
      <c r="I408" s="392">
        <v>4.04</v>
      </c>
      <c r="J408" s="392">
        <v>78.44</v>
      </c>
      <c r="K408" s="392">
        <f t="shared" si="13"/>
        <v>78.44</v>
      </c>
    </row>
    <row r="409" spans="5:11">
      <c r="E409" s="392">
        <v>133.82499999999999</v>
      </c>
      <c r="F409" s="392">
        <v>1.95</v>
      </c>
      <c r="G409" s="392">
        <f t="shared" si="12"/>
        <v>1.9500000000000011</v>
      </c>
      <c r="I409" s="392">
        <v>4.05</v>
      </c>
      <c r="J409" s="392">
        <v>78.175000000000011</v>
      </c>
      <c r="K409" s="392">
        <f t="shared" si="13"/>
        <v>78.175000000000011</v>
      </c>
    </row>
    <row r="410" spans="5:11">
      <c r="E410" s="392">
        <v>134.09</v>
      </c>
      <c r="F410" s="392">
        <v>1.94</v>
      </c>
      <c r="G410" s="392">
        <f t="shared" si="12"/>
        <v>1.9400000000000004</v>
      </c>
      <c r="I410" s="392">
        <v>4.0599999999999996</v>
      </c>
      <c r="J410" s="392">
        <v>77.910000000000011</v>
      </c>
      <c r="K410" s="392">
        <f t="shared" si="13"/>
        <v>77.910000000000011</v>
      </c>
    </row>
    <row r="411" spans="5:11">
      <c r="E411" s="392">
        <v>134.35500000000002</v>
      </c>
      <c r="F411" s="392">
        <v>1.93</v>
      </c>
      <c r="G411" s="392">
        <f t="shared" si="12"/>
        <v>1.9299999999999997</v>
      </c>
      <c r="I411" s="392">
        <v>4.07</v>
      </c>
      <c r="J411" s="392">
        <v>77.644999999999996</v>
      </c>
      <c r="K411" s="392">
        <f t="shared" si="13"/>
        <v>77.644999999999996</v>
      </c>
    </row>
    <row r="412" spans="5:11">
      <c r="E412" s="392">
        <v>134.62</v>
      </c>
      <c r="F412" s="392">
        <v>1.92</v>
      </c>
      <c r="G412" s="392">
        <f t="shared" si="12"/>
        <v>1.92</v>
      </c>
      <c r="I412" s="392">
        <v>4.08</v>
      </c>
      <c r="J412" s="392">
        <v>77.38</v>
      </c>
      <c r="K412" s="392">
        <f t="shared" si="13"/>
        <v>77.38</v>
      </c>
    </row>
    <row r="413" spans="5:11">
      <c r="E413" s="392">
        <v>134.88499999999999</v>
      </c>
      <c r="F413" s="392">
        <v>1.91</v>
      </c>
      <c r="G413" s="392">
        <f t="shared" si="12"/>
        <v>1.9100000000000001</v>
      </c>
      <c r="I413" s="392">
        <v>4.09</v>
      </c>
      <c r="J413" s="392">
        <v>77.115000000000009</v>
      </c>
      <c r="K413" s="392">
        <f t="shared" si="13"/>
        <v>77.115000000000009</v>
      </c>
    </row>
    <row r="414" spans="5:11">
      <c r="E414" s="392">
        <v>135.15</v>
      </c>
      <c r="F414" s="392">
        <v>1.9</v>
      </c>
      <c r="G414" s="392">
        <f t="shared" si="12"/>
        <v>1.9000000000000004</v>
      </c>
      <c r="I414" s="392">
        <v>4.0999999999999996</v>
      </c>
      <c r="J414" s="392">
        <v>76.850000000000009</v>
      </c>
      <c r="K414" s="392">
        <f t="shared" si="13"/>
        <v>76.850000000000009</v>
      </c>
    </row>
    <row r="415" spans="5:11">
      <c r="E415" s="392">
        <v>135.41499999999999</v>
      </c>
      <c r="F415" s="392">
        <v>1.89</v>
      </c>
      <c r="G415" s="392">
        <f t="shared" si="12"/>
        <v>1.8900000000000006</v>
      </c>
      <c r="I415" s="392">
        <v>4.1100000000000003</v>
      </c>
      <c r="J415" s="392">
        <v>76.584999999999994</v>
      </c>
      <c r="K415" s="392">
        <f t="shared" si="13"/>
        <v>76.584999999999994</v>
      </c>
    </row>
    <row r="416" spans="5:11">
      <c r="E416" s="392">
        <v>135.68</v>
      </c>
      <c r="F416" s="392">
        <v>1.88</v>
      </c>
      <c r="G416" s="392">
        <f t="shared" si="12"/>
        <v>1.88</v>
      </c>
      <c r="I416" s="392">
        <v>4.12</v>
      </c>
      <c r="J416" s="392">
        <v>76.319999999999993</v>
      </c>
      <c r="K416" s="392">
        <f t="shared" si="13"/>
        <v>76.319999999999993</v>
      </c>
    </row>
    <row r="417" spans="5:11">
      <c r="E417" s="392">
        <v>135.94499999999999</v>
      </c>
      <c r="F417" s="392">
        <v>1.87</v>
      </c>
      <c r="G417" s="392">
        <f t="shared" si="12"/>
        <v>1.87</v>
      </c>
      <c r="I417" s="392">
        <v>4.13</v>
      </c>
      <c r="J417" s="392">
        <v>76.055000000000007</v>
      </c>
      <c r="K417" s="392">
        <f t="shared" si="13"/>
        <v>76.055000000000007</v>
      </c>
    </row>
    <row r="418" spans="5:11">
      <c r="E418" s="392">
        <v>136.21</v>
      </c>
      <c r="F418" s="392">
        <v>1.86</v>
      </c>
      <c r="G418" s="392">
        <f t="shared" si="12"/>
        <v>1.8600000000000003</v>
      </c>
      <c r="I418" s="392">
        <v>4.1399999999999997</v>
      </c>
      <c r="J418" s="392">
        <v>75.790000000000006</v>
      </c>
      <c r="K418" s="392">
        <f t="shared" si="13"/>
        <v>75.790000000000006</v>
      </c>
    </row>
    <row r="419" spans="5:11">
      <c r="E419" s="392">
        <v>136.47499999999999</v>
      </c>
      <c r="F419" s="392">
        <v>1.85</v>
      </c>
      <c r="G419" s="392">
        <f t="shared" si="12"/>
        <v>1.8500000000000005</v>
      </c>
      <c r="I419" s="392">
        <v>4.1500000000000004</v>
      </c>
      <c r="J419" s="392">
        <v>75.524999999999991</v>
      </c>
      <c r="K419" s="392">
        <f t="shared" si="13"/>
        <v>75.524999999999991</v>
      </c>
    </row>
    <row r="420" spans="5:11">
      <c r="E420" s="392">
        <v>136.74</v>
      </c>
      <c r="F420" s="392">
        <v>1.84</v>
      </c>
      <c r="G420" s="392">
        <f t="shared" si="12"/>
        <v>1.8399999999999999</v>
      </c>
      <c r="I420" s="392">
        <v>4.16</v>
      </c>
      <c r="J420" s="392">
        <v>75.259999999999991</v>
      </c>
      <c r="K420" s="392">
        <f t="shared" si="13"/>
        <v>75.260000000000005</v>
      </c>
    </row>
    <row r="421" spans="5:11">
      <c r="E421" s="392">
        <v>137.005</v>
      </c>
      <c r="F421" s="392">
        <v>1.83</v>
      </c>
      <c r="G421" s="392">
        <f t="shared" si="12"/>
        <v>1.83</v>
      </c>
      <c r="I421" s="392">
        <v>4.17</v>
      </c>
      <c r="J421" s="392">
        <v>74.995000000000005</v>
      </c>
      <c r="K421" s="392">
        <f t="shared" si="13"/>
        <v>74.995000000000005</v>
      </c>
    </row>
    <row r="422" spans="5:11">
      <c r="E422" s="392">
        <v>137.26999999999998</v>
      </c>
      <c r="F422" s="392">
        <v>1.82</v>
      </c>
      <c r="G422" s="392">
        <f t="shared" si="12"/>
        <v>1.8200000000000012</v>
      </c>
      <c r="I422" s="392">
        <v>4.18</v>
      </c>
      <c r="J422" s="392">
        <v>74.73</v>
      </c>
      <c r="K422" s="392">
        <f t="shared" si="13"/>
        <v>74.73</v>
      </c>
    </row>
    <row r="423" spans="5:11">
      <c r="E423" s="392">
        <v>137.535</v>
      </c>
      <c r="F423" s="392">
        <v>1.81</v>
      </c>
      <c r="G423" s="392">
        <f t="shared" si="12"/>
        <v>1.8100000000000005</v>
      </c>
      <c r="I423" s="392">
        <v>4.1900000000000004</v>
      </c>
      <c r="J423" s="392">
        <v>74.464999999999989</v>
      </c>
      <c r="K423" s="392">
        <f t="shared" si="13"/>
        <v>74.464999999999989</v>
      </c>
    </row>
    <row r="424" spans="5:11">
      <c r="E424" s="392">
        <v>137.80000000000001</v>
      </c>
      <c r="F424" s="392">
        <v>1.8</v>
      </c>
      <c r="G424" s="392">
        <f t="shared" si="12"/>
        <v>1.7999999999999998</v>
      </c>
      <c r="I424" s="392">
        <v>4.2</v>
      </c>
      <c r="J424" s="392">
        <v>74.199999999999989</v>
      </c>
      <c r="K424" s="392">
        <f t="shared" si="13"/>
        <v>74.2</v>
      </c>
    </row>
    <row r="425" spans="5:11">
      <c r="E425" s="392">
        <v>138.065</v>
      </c>
      <c r="F425" s="392">
        <v>1.79</v>
      </c>
      <c r="G425" s="392">
        <f t="shared" si="12"/>
        <v>1.79</v>
      </c>
      <c r="I425" s="392">
        <v>4.21</v>
      </c>
      <c r="J425" s="392">
        <v>73.935000000000002</v>
      </c>
      <c r="K425" s="392">
        <f t="shared" si="13"/>
        <v>73.935000000000002</v>
      </c>
    </row>
    <row r="426" spans="5:11">
      <c r="E426" s="392">
        <v>138.32999999999998</v>
      </c>
      <c r="F426" s="392">
        <v>1.78</v>
      </c>
      <c r="G426" s="392">
        <f t="shared" si="12"/>
        <v>1.7800000000000011</v>
      </c>
      <c r="I426" s="392">
        <v>4.22</v>
      </c>
      <c r="J426" s="392">
        <v>73.67</v>
      </c>
      <c r="K426" s="392">
        <f t="shared" si="13"/>
        <v>73.670000000000016</v>
      </c>
    </row>
    <row r="427" spans="5:11">
      <c r="E427" s="392">
        <v>138.595</v>
      </c>
      <c r="F427" s="392">
        <v>1.77</v>
      </c>
      <c r="G427" s="392">
        <f t="shared" si="12"/>
        <v>1.7700000000000005</v>
      </c>
      <c r="I427" s="392">
        <v>4.2300000000000004</v>
      </c>
      <c r="J427" s="392">
        <v>73.404999999999987</v>
      </c>
      <c r="K427" s="392">
        <f t="shared" si="13"/>
        <v>73.404999999999987</v>
      </c>
    </row>
    <row r="428" spans="5:11">
      <c r="E428" s="392">
        <v>138.86000000000001</v>
      </c>
      <c r="F428" s="392">
        <v>1.76</v>
      </c>
      <c r="G428" s="392">
        <f t="shared" si="12"/>
        <v>1.7599999999999998</v>
      </c>
      <c r="I428" s="392">
        <v>4.24</v>
      </c>
      <c r="J428" s="392">
        <v>73.14</v>
      </c>
      <c r="K428" s="392">
        <f t="shared" si="13"/>
        <v>73.14</v>
      </c>
    </row>
    <row r="429" spans="5:11">
      <c r="E429" s="392">
        <v>139.125</v>
      </c>
      <c r="F429" s="392">
        <v>1.75</v>
      </c>
      <c r="G429" s="392">
        <f t="shared" si="12"/>
        <v>1.75</v>
      </c>
      <c r="I429" s="392">
        <v>4.25</v>
      </c>
      <c r="J429" s="392">
        <v>72.875</v>
      </c>
      <c r="K429" s="392">
        <f t="shared" si="13"/>
        <v>72.875</v>
      </c>
    </row>
    <row r="430" spans="5:11">
      <c r="E430" s="392">
        <v>139.38999999999999</v>
      </c>
      <c r="F430" s="392">
        <v>1.74</v>
      </c>
      <c r="G430" s="392">
        <f t="shared" si="12"/>
        <v>1.7400000000000011</v>
      </c>
      <c r="I430" s="392">
        <v>4.26</v>
      </c>
      <c r="J430" s="392">
        <v>72.61</v>
      </c>
      <c r="K430" s="392">
        <f t="shared" si="13"/>
        <v>72.610000000000014</v>
      </c>
    </row>
    <row r="431" spans="5:11">
      <c r="E431" s="392">
        <v>139.655</v>
      </c>
      <c r="F431" s="392">
        <v>1.73</v>
      </c>
      <c r="G431" s="392">
        <f t="shared" si="12"/>
        <v>1.7300000000000004</v>
      </c>
      <c r="I431" s="392">
        <v>4.2699999999999996</v>
      </c>
      <c r="J431" s="392">
        <v>72.345000000000013</v>
      </c>
      <c r="K431" s="392">
        <f t="shared" si="13"/>
        <v>72.345000000000013</v>
      </c>
    </row>
    <row r="432" spans="5:11">
      <c r="E432" s="392">
        <v>139.92000000000002</v>
      </c>
      <c r="F432" s="392">
        <v>1.72</v>
      </c>
      <c r="G432" s="392">
        <f t="shared" si="12"/>
        <v>1.7199999999999998</v>
      </c>
      <c r="I432" s="392">
        <v>4.28</v>
      </c>
      <c r="J432" s="392">
        <v>72.08</v>
      </c>
      <c r="K432" s="392">
        <f t="shared" si="13"/>
        <v>72.08</v>
      </c>
    </row>
    <row r="433" spans="5:11">
      <c r="E433" s="392">
        <v>140.185</v>
      </c>
      <c r="F433" s="392">
        <v>1.71</v>
      </c>
      <c r="G433" s="392">
        <f t="shared" si="12"/>
        <v>1.71</v>
      </c>
      <c r="I433" s="392">
        <v>4.29</v>
      </c>
      <c r="J433" s="392">
        <v>71.814999999999998</v>
      </c>
      <c r="K433" s="392">
        <f t="shared" si="13"/>
        <v>71.814999999999998</v>
      </c>
    </row>
    <row r="434" spans="5:11">
      <c r="E434" s="392">
        <v>140.44999999999999</v>
      </c>
      <c r="F434" s="392">
        <v>1.7</v>
      </c>
      <c r="G434" s="392">
        <f t="shared" si="12"/>
        <v>1.7000000000000011</v>
      </c>
      <c r="I434" s="392">
        <v>4.3</v>
      </c>
      <c r="J434" s="392">
        <v>71.550000000000011</v>
      </c>
      <c r="K434" s="392">
        <f t="shared" si="13"/>
        <v>71.550000000000011</v>
      </c>
    </row>
    <row r="435" spans="5:11">
      <c r="E435" s="392">
        <v>140.715</v>
      </c>
      <c r="F435" s="392">
        <v>1.69</v>
      </c>
      <c r="G435" s="392">
        <f t="shared" si="12"/>
        <v>1.6900000000000004</v>
      </c>
      <c r="I435" s="392">
        <v>4.3099999999999996</v>
      </c>
      <c r="J435" s="392">
        <v>71.285000000000011</v>
      </c>
      <c r="K435" s="392">
        <f t="shared" si="13"/>
        <v>71.285000000000011</v>
      </c>
    </row>
    <row r="436" spans="5:11">
      <c r="E436" s="392">
        <v>140.98000000000002</v>
      </c>
      <c r="F436" s="392">
        <v>1.68</v>
      </c>
      <c r="G436" s="392">
        <f t="shared" si="12"/>
        <v>1.6799999999999997</v>
      </c>
      <c r="I436" s="392">
        <v>4.32</v>
      </c>
      <c r="J436" s="392">
        <v>71.02</v>
      </c>
      <c r="K436" s="392">
        <f t="shared" si="13"/>
        <v>71.02</v>
      </c>
    </row>
    <row r="437" spans="5:11">
      <c r="E437" s="392">
        <v>141.245</v>
      </c>
      <c r="F437" s="392">
        <v>1.67</v>
      </c>
      <c r="G437" s="392">
        <f t="shared" si="12"/>
        <v>1.67</v>
      </c>
      <c r="I437" s="392">
        <v>4.33</v>
      </c>
      <c r="J437" s="392">
        <v>70.754999999999995</v>
      </c>
      <c r="K437" s="392">
        <f t="shared" si="13"/>
        <v>70.754999999999995</v>
      </c>
    </row>
    <row r="438" spans="5:11">
      <c r="E438" s="392">
        <v>141.51</v>
      </c>
      <c r="F438" s="392">
        <v>1.66</v>
      </c>
      <c r="G438" s="392">
        <f t="shared" si="12"/>
        <v>1.6600000000000001</v>
      </c>
      <c r="I438" s="392">
        <v>4.34</v>
      </c>
      <c r="J438" s="392">
        <v>70.490000000000009</v>
      </c>
      <c r="K438" s="392">
        <f t="shared" si="13"/>
        <v>70.490000000000009</v>
      </c>
    </row>
    <row r="439" spans="5:11">
      <c r="E439" s="392">
        <v>141.77500000000001</v>
      </c>
      <c r="F439" s="392">
        <v>1.65</v>
      </c>
      <c r="G439" s="392">
        <f t="shared" si="12"/>
        <v>1.6500000000000004</v>
      </c>
      <c r="I439" s="392">
        <v>4.3499999999999996</v>
      </c>
      <c r="J439" s="392">
        <v>70.225000000000009</v>
      </c>
      <c r="K439" s="392">
        <f t="shared" si="13"/>
        <v>70.225000000000009</v>
      </c>
    </row>
    <row r="440" spans="5:11">
      <c r="E440" s="392">
        <v>142.04</v>
      </c>
      <c r="F440" s="392">
        <v>1.64</v>
      </c>
      <c r="G440" s="392">
        <f t="shared" si="12"/>
        <v>1.6400000000000006</v>
      </c>
      <c r="I440" s="392">
        <v>4.3600000000000003</v>
      </c>
      <c r="J440" s="392">
        <v>69.959999999999994</v>
      </c>
      <c r="K440" s="392">
        <f t="shared" si="13"/>
        <v>69.959999999999994</v>
      </c>
    </row>
    <row r="441" spans="5:11">
      <c r="E441" s="392">
        <v>142.30500000000001</v>
      </c>
      <c r="F441" s="392">
        <v>1.63</v>
      </c>
      <c r="G441" s="392">
        <f t="shared" si="12"/>
        <v>1.63</v>
      </c>
      <c r="I441" s="392">
        <v>4.37</v>
      </c>
      <c r="J441" s="392">
        <v>69.694999999999993</v>
      </c>
      <c r="K441" s="392">
        <f t="shared" si="13"/>
        <v>69.694999999999993</v>
      </c>
    </row>
    <row r="442" spans="5:11">
      <c r="E442" s="392">
        <v>142.57</v>
      </c>
      <c r="F442" s="392">
        <v>1.62</v>
      </c>
      <c r="G442" s="392">
        <f t="shared" si="12"/>
        <v>1.62</v>
      </c>
      <c r="I442" s="392">
        <v>4.38</v>
      </c>
      <c r="J442" s="392">
        <v>69.430000000000007</v>
      </c>
      <c r="K442" s="392">
        <f t="shared" si="13"/>
        <v>69.430000000000007</v>
      </c>
    </row>
    <row r="443" spans="5:11">
      <c r="E443" s="392">
        <v>142.83500000000001</v>
      </c>
      <c r="F443" s="392">
        <v>1.61</v>
      </c>
      <c r="G443" s="392">
        <f t="shared" si="12"/>
        <v>1.6100000000000003</v>
      </c>
      <c r="I443" s="392">
        <v>4.3899999999999997</v>
      </c>
      <c r="J443" s="392">
        <v>69.165000000000006</v>
      </c>
      <c r="K443" s="392">
        <f t="shared" si="13"/>
        <v>69.165000000000006</v>
      </c>
    </row>
    <row r="444" spans="5:11">
      <c r="E444" s="392">
        <v>143.1</v>
      </c>
      <c r="F444" s="392">
        <v>1.6</v>
      </c>
      <c r="G444" s="392">
        <f t="shared" si="12"/>
        <v>1.6000000000000005</v>
      </c>
      <c r="I444" s="392">
        <v>4.4000000000000004</v>
      </c>
      <c r="J444" s="392">
        <v>68.899999999999991</v>
      </c>
      <c r="K444" s="392">
        <f t="shared" si="13"/>
        <v>68.899999999999991</v>
      </c>
    </row>
    <row r="445" spans="5:11">
      <c r="E445" s="392">
        <v>143.36500000000001</v>
      </c>
      <c r="F445" s="392">
        <v>1.59</v>
      </c>
      <c r="G445" s="392">
        <f t="shared" si="12"/>
        <v>1.5899999999999999</v>
      </c>
      <c r="I445" s="392">
        <v>4.41</v>
      </c>
      <c r="J445" s="392">
        <v>68.634999999999991</v>
      </c>
      <c r="K445" s="392">
        <f t="shared" si="13"/>
        <v>68.635000000000005</v>
      </c>
    </row>
    <row r="446" spans="5:11">
      <c r="E446" s="392">
        <v>143.63</v>
      </c>
      <c r="F446" s="392">
        <v>1.58</v>
      </c>
      <c r="G446" s="392">
        <f t="shared" si="12"/>
        <v>1.58</v>
      </c>
      <c r="I446" s="392">
        <v>4.42</v>
      </c>
      <c r="J446" s="392">
        <v>68.37</v>
      </c>
      <c r="K446" s="392">
        <f t="shared" si="13"/>
        <v>68.37</v>
      </c>
    </row>
    <row r="447" spans="5:11">
      <c r="E447" s="392">
        <v>143.89499999999998</v>
      </c>
      <c r="F447" s="392">
        <v>1.57</v>
      </c>
      <c r="G447" s="392">
        <f t="shared" si="12"/>
        <v>1.5700000000000012</v>
      </c>
      <c r="I447" s="392">
        <v>4.43</v>
      </c>
      <c r="J447" s="392">
        <v>68.105000000000004</v>
      </c>
      <c r="K447" s="392">
        <f t="shared" si="13"/>
        <v>68.105000000000004</v>
      </c>
    </row>
    <row r="448" spans="5:11">
      <c r="E448" s="392">
        <v>144.16</v>
      </c>
      <c r="F448" s="392">
        <v>1.56</v>
      </c>
      <c r="G448" s="392">
        <f t="shared" si="12"/>
        <v>1.5600000000000005</v>
      </c>
      <c r="I448" s="392">
        <v>4.4400000000000004</v>
      </c>
      <c r="J448" s="392">
        <v>67.839999999999989</v>
      </c>
      <c r="K448" s="392">
        <f t="shared" si="13"/>
        <v>67.839999999999989</v>
      </c>
    </row>
    <row r="449" spans="5:11">
      <c r="E449" s="392">
        <v>144.42500000000001</v>
      </c>
      <c r="F449" s="392">
        <v>1.55</v>
      </c>
      <c r="G449" s="392">
        <f t="shared" si="12"/>
        <v>1.5499999999999998</v>
      </c>
      <c r="I449" s="392">
        <v>4.45</v>
      </c>
      <c r="J449" s="392">
        <v>67.574999999999989</v>
      </c>
      <c r="K449" s="392">
        <f t="shared" si="13"/>
        <v>67.575000000000003</v>
      </c>
    </row>
    <row r="450" spans="5:11">
      <c r="E450" s="392">
        <v>144.69</v>
      </c>
      <c r="F450" s="392">
        <v>1.54</v>
      </c>
      <c r="G450" s="392">
        <f t="shared" si="12"/>
        <v>1.54</v>
      </c>
      <c r="I450" s="392">
        <v>4.46</v>
      </c>
      <c r="J450" s="392">
        <v>67.31</v>
      </c>
      <c r="K450" s="392">
        <f t="shared" si="13"/>
        <v>67.31</v>
      </c>
    </row>
    <row r="451" spans="5:11">
      <c r="E451" s="392">
        <v>144.95499999999998</v>
      </c>
      <c r="F451" s="392">
        <v>1.53</v>
      </c>
      <c r="G451" s="392">
        <f t="shared" si="12"/>
        <v>1.5300000000000011</v>
      </c>
      <c r="I451" s="392">
        <v>4.47</v>
      </c>
      <c r="J451" s="392">
        <v>67.045000000000002</v>
      </c>
      <c r="K451" s="392">
        <f t="shared" si="13"/>
        <v>67.045000000000016</v>
      </c>
    </row>
    <row r="452" spans="5:11">
      <c r="E452" s="392">
        <v>145.22</v>
      </c>
      <c r="F452" s="392">
        <v>1.52</v>
      </c>
      <c r="G452" s="392">
        <f t="shared" si="12"/>
        <v>1.5200000000000005</v>
      </c>
      <c r="I452" s="392">
        <v>4.4800000000000004</v>
      </c>
      <c r="J452" s="392">
        <v>66.779999999999987</v>
      </c>
      <c r="K452" s="392">
        <f t="shared" si="13"/>
        <v>66.779999999999987</v>
      </c>
    </row>
    <row r="453" spans="5:11">
      <c r="E453" s="392">
        <v>145.48500000000001</v>
      </c>
      <c r="F453" s="392">
        <v>1.51</v>
      </c>
      <c r="G453" s="392">
        <f t="shared" ref="G453:G516" si="14">E453*(-6/159)+7</f>
        <v>1.5099999999999998</v>
      </c>
      <c r="I453" s="392">
        <v>4.49</v>
      </c>
      <c r="J453" s="392">
        <v>66.515000000000001</v>
      </c>
      <c r="K453" s="392">
        <f t="shared" ref="K453:K516" si="15">(I453-7)/(-6/159)</f>
        <v>66.515000000000001</v>
      </c>
    </row>
    <row r="454" spans="5:11">
      <c r="E454" s="392">
        <v>145.75</v>
      </c>
      <c r="F454" s="392">
        <v>1.5</v>
      </c>
      <c r="G454" s="392">
        <f t="shared" si="14"/>
        <v>1.5</v>
      </c>
      <c r="I454" s="392">
        <v>4.5</v>
      </c>
      <c r="J454" s="392">
        <v>66.25</v>
      </c>
      <c r="K454" s="392">
        <f t="shared" si="15"/>
        <v>66.25</v>
      </c>
    </row>
    <row r="455" spans="5:11">
      <c r="E455" s="392">
        <v>146.01499999999999</v>
      </c>
      <c r="F455" s="392">
        <v>1.49</v>
      </c>
      <c r="G455" s="392">
        <f t="shared" si="14"/>
        <v>1.4900000000000011</v>
      </c>
      <c r="I455" s="392">
        <v>4.51</v>
      </c>
      <c r="J455" s="392">
        <v>65.984999999999999</v>
      </c>
      <c r="K455" s="392">
        <f t="shared" si="15"/>
        <v>65.985000000000014</v>
      </c>
    </row>
    <row r="456" spans="5:11">
      <c r="E456" s="392">
        <v>146.28</v>
      </c>
      <c r="F456" s="392">
        <v>1.48</v>
      </c>
      <c r="G456" s="392">
        <f t="shared" si="14"/>
        <v>1.4800000000000004</v>
      </c>
      <c r="I456" s="392">
        <v>4.5199999999999996</v>
      </c>
      <c r="J456" s="392">
        <v>65.720000000000013</v>
      </c>
      <c r="K456" s="392">
        <f t="shared" si="15"/>
        <v>65.720000000000013</v>
      </c>
    </row>
    <row r="457" spans="5:11">
      <c r="E457" s="392">
        <v>146.54500000000002</v>
      </c>
      <c r="F457" s="392">
        <v>1.47</v>
      </c>
      <c r="G457" s="392">
        <f t="shared" si="14"/>
        <v>1.4699999999999998</v>
      </c>
      <c r="I457" s="392">
        <v>4.53</v>
      </c>
      <c r="J457" s="392">
        <v>65.454999999999998</v>
      </c>
      <c r="K457" s="392">
        <f t="shared" si="15"/>
        <v>65.454999999999998</v>
      </c>
    </row>
    <row r="458" spans="5:11">
      <c r="E458" s="392">
        <v>146.81</v>
      </c>
      <c r="F458" s="392">
        <v>1.46</v>
      </c>
      <c r="G458" s="392">
        <f t="shared" si="14"/>
        <v>1.46</v>
      </c>
      <c r="I458" s="392">
        <v>4.54</v>
      </c>
      <c r="J458" s="392">
        <v>65.19</v>
      </c>
      <c r="K458" s="392">
        <f t="shared" si="15"/>
        <v>65.19</v>
      </c>
    </row>
    <row r="459" spans="5:11">
      <c r="E459" s="392">
        <v>147.07499999999999</v>
      </c>
      <c r="F459" s="392">
        <v>1.45</v>
      </c>
      <c r="G459" s="392">
        <f t="shared" si="14"/>
        <v>1.4500000000000011</v>
      </c>
      <c r="I459" s="392">
        <v>4.55</v>
      </c>
      <c r="J459" s="392">
        <v>64.925000000000011</v>
      </c>
      <c r="K459" s="392">
        <f t="shared" si="15"/>
        <v>64.925000000000011</v>
      </c>
    </row>
    <row r="460" spans="5:11">
      <c r="E460" s="392">
        <v>147.34</v>
      </c>
      <c r="F460" s="392">
        <v>1.44</v>
      </c>
      <c r="G460" s="392">
        <f t="shared" si="14"/>
        <v>1.4400000000000004</v>
      </c>
      <c r="I460" s="392">
        <v>4.5599999999999996</v>
      </c>
      <c r="J460" s="392">
        <v>64.660000000000011</v>
      </c>
      <c r="K460" s="392">
        <f t="shared" si="15"/>
        <v>64.660000000000011</v>
      </c>
    </row>
    <row r="461" spans="5:11">
      <c r="E461" s="392">
        <v>147.60500000000002</v>
      </c>
      <c r="F461" s="392">
        <v>1.43</v>
      </c>
      <c r="G461" s="392">
        <f t="shared" si="14"/>
        <v>1.4299999999999997</v>
      </c>
      <c r="I461" s="392">
        <v>4.57</v>
      </c>
      <c r="J461" s="392">
        <v>64.394999999999996</v>
      </c>
      <c r="K461" s="392">
        <f t="shared" si="15"/>
        <v>64.394999999999996</v>
      </c>
    </row>
    <row r="462" spans="5:11">
      <c r="E462" s="392">
        <v>147.87</v>
      </c>
      <c r="F462" s="392">
        <v>1.42</v>
      </c>
      <c r="G462" s="392">
        <f t="shared" si="14"/>
        <v>1.42</v>
      </c>
      <c r="I462" s="392">
        <v>4.58</v>
      </c>
      <c r="J462" s="392">
        <v>64.13</v>
      </c>
      <c r="K462" s="392">
        <f t="shared" si="15"/>
        <v>64.13</v>
      </c>
    </row>
    <row r="463" spans="5:11">
      <c r="E463" s="392">
        <v>148.13499999999999</v>
      </c>
      <c r="F463" s="392">
        <v>1.41</v>
      </c>
      <c r="G463" s="392">
        <f t="shared" si="14"/>
        <v>1.4100000000000001</v>
      </c>
      <c r="I463" s="392">
        <v>4.59</v>
      </c>
      <c r="J463" s="392">
        <v>63.865000000000009</v>
      </c>
      <c r="K463" s="392">
        <f t="shared" si="15"/>
        <v>63.865000000000009</v>
      </c>
    </row>
    <row r="464" spans="5:11">
      <c r="E464" s="392">
        <v>148.4</v>
      </c>
      <c r="F464" s="392">
        <v>1.4</v>
      </c>
      <c r="G464" s="392">
        <f t="shared" si="14"/>
        <v>1.4000000000000004</v>
      </c>
      <c r="I464" s="392">
        <v>4.5999999999999996</v>
      </c>
      <c r="J464" s="392">
        <v>63.600000000000009</v>
      </c>
      <c r="K464" s="392">
        <f t="shared" si="15"/>
        <v>63.600000000000009</v>
      </c>
    </row>
    <row r="465" spans="5:11">
      <c r="E465" s="392">
        <v>148.66499999999999</v>
      </c>
      <c r="F465" s="392">
        <v>1.39</v>
      </c>
      <c r="G465" s="392">
        <f t="shared" si="14"/>
        <v>1.3900000000000006</v>
      </c>
      <c r="I465" s="392">
        <v>4.6100000000000003</v>
      </c>
      <c r="J465" s="392">
        <v>63.334999999999994</v>
      </c>
      <c r="K465" s="392">
        <f t="shared" si="15"/>
        <v>63.334999999999994</v>
      </c>
    </row>
    <row r="466" spans="5:11">
      <c r="E466" s="392">
        <v>148.93</v>
      </c>
      <c r="F466" s="392">
        <v>1.38</v>
      </c>
      <c r="G466" s="392">
        <f t="shared" si="14"/>
        <v>1.38</v>
      </c>
      <c r="I466" s="392">
        <v>4.62</v>
      </c>
      <c r="J466" s="392">
        <v>63.069999999999993</v>
      </c>
      <c r="K466" s="392">
        <f t="shared" si="15"/>
        <v>63.07</v>
      </c>
    </row>
    <row r="467" spans="5:11">
      <c r="E467" s="392">
        <v>149.19499999999999</v>
      </c>
      <c r="F467" s="392">
        <v>1.37</v>
      </c>
      <c r="G467" s="392">
        <f t="shared" si="14"/>
        <v>1.37</v>
      </c>
      <c r="I467" s="392">
        <v>4.63</v>
      </c>
      <c r="J467" s="392">
        <v>62.805000000000007</v>
      </c>
      <c r="K467" s="392">
        <f t="shared" si="15"/>
        <v>62.805000000000007</v>
      </c>
    </row>
    <row r="468" spans="5:11">
      <c r="E468" s="392">
        <v>149.46</v>
      </c>
      <c r="F468" s="392">
        <v>1.36</v>
      </c>
      <c r="G468" s="392">
        <f t="shared" si="14"/>
        <v>1.3600000000000003</v>
      </c>
      <c r="I468" s="392">
        <v>4.6399999999999997</v>
      </c>
      <c r="J468" s="392">
        <v>62.540000000000006</v>
      </c>
      <c r="K468" s="392">
        <f t="shared" si="15"/>
        <v>62.540000000000013</v>
      </c>
    </row>
    <row r="469" spans="5:11">
      <c r="E469" s="392">
        <v>149.72499999999999</v>
      </c>
      <c r="F469" s="392">
        <v>1.35</v>
      </c>
      <c r="G469" s="392">
        <f t="shared" si="14"/>
        <v>1.3500000000000005</v>
      </c>
      <c r="I469" s="392">
        <v>4.6500000000000004</v>
      </c>
      <c r="J469" s="392">
        <v>62.274999999999991</v>
      </c>
      <c r="K469" s="392">
        <f t="shared" si="15"/>
        <v>62.274999999999991</v>
      </c>
    </row>
    <row r="470" spans="5:11">
      <c r="E470" s="392">
        <v>149.99</v>
      </c>
      <c r="F470" s="392">
        <v>1.34</v>
      </c>
      <c r="G470" s="392">
        <f t="shared" si="14"/>
        <v>1.3399999999999999</v>
      </c>
      <c r="I470" s="392">
        <v>4.66</v>
      </c>
      <c r="J470" s="392">
        <v>62.009999999999991</v>
      </c>
      <c r="K470" s="392">
        <f t="shared" si="15"/>
        <v>62.01</v>
      </c>
    </row>
    <row r="471" spans="5:11">
      <c r="E471" s="392">
        <v>150.255</v>
      </c>
      <c r="F471" s="392">
        <v>1.33</v>
      </c>
      <c r="G471" s="392">
        <f t="shared" si="14"/>
        <v>1.33</v>
      </c>
      <c r="I471" s="392">
        <v>4.67</v>
      </c>
      <c r="J471" s="392">
        <v>61.745000000000005</v>
      </c>
      <c r="K471" s="392">
        <f t="shared" si="15"/>
        <v>61.745000000000005</v>
      </c>
    </row>
    <row r="472" spans="5:11">
      <c r="E472" s="392">
        <v>150.51999999999998</v>
      </c>
      <c r="F472" s="392">
        <v>1.32</v>
      </c>
      <c r="G472" s="392">
        <f t="shared" si="14"/>
        <v>1.3200000000000012</v>
      </c>
      <c r="I472" s="392">
        <v>4.68</v>
      </c>
      <c r="J472" s="392">
        <v>61.480000000000004</v>
      </c>
      <c r="K472" s="392">
        <f t="shared" si="15"/>
        <v>61.480000000000011</v>
      </c>
    </row>
    <row r="473" spans="5:11">
      <c r="E473" s="392">
        <v>150.785</v>
      </c>
      <c r="F473" s="392">
        <v>1.31</v>
      </c>
      <c r="G473" s="392">
        <f t="shared" si="14"/>
        <v>1.3100000000000005</v>
      </c>
      <c r="I473" s="392">
        <v>4.6900000000000004</v>
      </c>
      <c r="J473" s="392">
        <v>61.214999999999989</v>
      </c>
      <c r="K473" s="392">
        <f t="shared" si="15"/>
        <v>61.214999999999989</v>
      </c>
    </row>
    <row r="474" spans="5:11">
      <c r="E474" s="392">
        <v>151.05000000000001</v>
      </c>
      <c r="F474" s="392">
        <v>1.3</v>
      </c>
      <c r="G474" s="392">
        <f t="shared" si="14"/>
        <v>1.2999999999999998</v>
      </c>
      <c r="I474" s="392">
        <v>4.7</v>
      </c>
      <c r="J474" s="392">
        <v>60.949999999999989</v>
      </c>
      <c r="K474" s="392">
        <f t="shared" si="15"/>
        <v>60.949999999999996</v>
      </c>
    </row>
    <row r="475" spans="5:11">
      <c r="E475" s="392">
        <v>151.315</v>
      </c>
      <c r="F475" s="392">
        <v>1.29</v>
      </c>
      <c r="G475" s="392">
        <f t="shared" si="14"/>
        <v>1.29</v>
      </c>
      <c r="I475" s="392">
        <v>4.71</v>
      </c>
      <c r="J475" s="392">
        <v>60.685000000000002</v>
      </c>
      <c r="K475" s="392">
        <f t="shared" si="15"/>
        <v>60.685000000000002</v>
      </c>
    </row>
    <row r="476" spans="5:11">
      <c r="E476" s="392">
        <v>151.57999999999998</v>
      </c>
      <c r="F476" s="392">
        <v>1.28</v>
      </c>
      <c r="G476" s="392">
        <f t="shared" si="14"/>
        <v>1.2800000000000011</v>
      </c>
      <c r="I476" s="392">
        <v>4.72</v>
      </c>
      <c r="J476" s="392">
        <v>60.42</v>
      </c>
      <c r="K476" s="392">
        <f t="shared" si="15"/>
        <v>60.420000000000009</v>
      </c>
    </row>
    <row r="477" spans="5:11">
      <c r="E477" s="392">
        <v>151.845</v>
      </c>
      <c r="F477" s="392">
        <v>1.27</v>
      </c>
      <c r="G477" s="392">
        <f t="shared" si="14"/>
        <v>1.2700000000000005</v>
      </c>
      <c r="I477" s="392">
        <v>4.7300000000000004</v>
      </c>
      <c r="J477" s="392">
        <v>60.154999999999987</v>
      </c>
      <c r="K477" s="392">
        <f t="shared" si="15"/>
        <v>60.154999999999994</v>
      </c>
    </row>
    <row r="478" spans="5:11">
      <c r="E478" s="392">
        <v>152.11000000000001</v>
      </c>
      <c r="F478" s="392">
        <v>1.26</v>
      </c>
      <c r="G478" s="392">
        <f t="shared" si="14"/>
        <v>1.2599999999999998</v>
      </c>
      <c r="I478" s="392">
        <v>4.74</v>
      </c>
      <c r="J478" s="392">
        <v>59.89</v>
      </c>
      <c r="K478" s="392">
        <f t="shared" si="15"/>
        <v>59.889999999999993</v>
      </c>
    </row>
    <row r="479" spans="5:11">
      <c r="E479" s="392">
        <v>152.375</v>
      </c>
      <c r="F479" s="392">
        <v>1.25</v>
      </c>
      <c r="G479" s="392">
        <f t="shared" si="14"/>
        <v>1.25</v>
      </c>
      <c r="I479" s="392">
        <v>4.75</v>
      </c>
      <c r="J479" s="392">
        <v>59.625</v>
      </c>
      <c r="K479" s="392">
        <f t="shared" si="15"/>
        <v>59.625</v>
      </c>
    </row>
    <row r="480" spans="5:11">
      <c r="E480" s="392">
        <v>152.63999999999999</v>
      </c>
      <c r="F480" s="392">
        <v>1.24</v>
      </c>
      <c r="G480" s="392">
        <f t="shared" si="14"/>
        <v>1.2400000000000011</v>
      </c>
      <c r="I480" s="392">
        <v>4.76</v>
      </c>
      <c r="J480" s="392">
        <v>59.36</v>
      </c>
      <c r="K480" s="392">
        <f t="shared" si="15"/>
        <v>59.360000000000007</v>
      </c>
    </row>
    <row r="481" spans="5:11">
      <c r="E481" s="392">
        <v>152.905</v>
      </c>
      <c r="F481" s="392">
        <v>1.23</v>
      </c>
      <c r="G481" s="392">
        <f t="shared" si="14"/>
        <v>1.2300000000000004</v>
      </c>
      <c r="I481" s="392">
        <v>4.7699999999999996</v>
      </c>
      <c r="J481" s="392">
        <v>59.095000000000013</v>
      </c>
      <c r="K481" s="392">
        <f t="shared" si="15"/>
        <v>59.095000000000013</v>
      </c>
    </row>
    <row r="482" spans="5:11">
      <c r="E482" s="392">
        <v>153.17000000000002</v>
      </c>
      <c r="F482" s="392">
        <v>1.22</v>
      </c>
      <c r="G482" s="392">
        <f t="shared" si="14"/>
        <v>1.2199999999999998</v>
      </c>
      <c r="I482" s="392">
        <v>4.78</v>
      </c>
      <c r="J482" s="392">
        <v>58.83</v>
      </c>
      <c r="K482" s="392">
        <f t="shared" si="15"/>
        <v>58.83</v>
      </c>
    </row>
    <row r="483" spans="5:11">
      <c r="E483" s="392">
        <v>153.435</v>
      </c>
      <c r="F483" s="392">
        <v>1.21</v>
      </c>
      <c r="G483" s="392">
        <f t="shared" si="14"/>
        <v>1.21</v>
      </c>
      <c r="I483" s="392">
        <v>4.79</v>
      </c>
      <c r="J483" s="392">
        <v>58.564999999999998</v>
      </c>
      <c r="K483" s="392">
        <f t="shared" si="15"/>
        <v>58.565000000000005</v>
      </c>
    </row>
    <row r="484" spans="5:11">
      <c r="E484" s="392">
        <v>153.69999999999999</v>
      </c>
      <c r="F484" s="392">
        <v>1.2</v>
      </c>
      <c r="G484" s="392">
        <f t="shared" si="14"/>
        <v>1.2000000000000011</v>
      </c>
      <c r="I484" s="392">
        <v>4.8</v>
      </c>
      <c r="J484" s="392">
        <v>58.300000000000011</v>
      </c>
      <c r="K484" s="392">
        <f t="shared" si="15"/>
        <v>58.300000000000004</v>
      </c>
    </row>
    <row r="485" spans="5:11">
      <c r="E485" s="392">
        <v>153.965</v>
      </c>
      <c r="F485" s="392">
        <v>1.19</v>
      </c>
      <c r="G485" s="392">
        <f t="shared" si="14"/>
        <v>1.1900000000000004</v>
      </c>
      <c r="I485" s="392">
        <v>4.8099999999999996</v>
      </c>
      <c r="J485" s="392">
        <v>58.035000000000011</v>
      </c>
      <c r="K485" s="392">
        <f t="shared" si="15"/>
        <v>58.035000000000011</v>
      </c>
    </row>
    <row r="486" spans="5:11">
      <c r="E486" s="392">
        <v>154.22999999999999</v>
      </c>
      <c r="F486" s="392">
        <v>1.18</v>
      </c>
      <c r="G486" s="392">
        <f t="shared" si="14"/>
        <v>1.1800000000000006</v>
      </c>
      <c r="I486" s="392">
        <v>4.82</v>
      </c>
      <c r="J486" s="392">
        <v>57.769999999999996</v>
      </c>
      <c r="K486" s="392">
        <f t="shared" si="15"/>
        <v>57.769999999999996</v>
      </c>
    </row>
    <row r="487" spans="5:11">
      <c r="E487" s="392">
        <v>154.495</v>
      </c>
      <c r="F487" s="392">
        <v>1.17</v>
      </c>
      <c r="G487" s="392">
        <f t="shared" si="14"/>
        <v>1.17</v>
      </c>
      <c r="I487" s="392">
        <v>4.83</v>
      </c>
      <c r="J487" s="392">
        <v>57.504999999999995</v>
      </c>
      <c r="K487" s="392">
        <f t="shared" si="15"/>
        <v>57.505000000000003</v>
      </c>
    </row>
    <row r="488" spans="5:11">
      <c r="E488" s="392">
        <v>154.76</v>
      </c>
      <c r="F488" s="392">
        <v>1.1599999999999999</v>
      </c>
      <c r="G488" s="392">
        <f t="shared" si="14"/>
        <v>1.1600000000000001</v>
      </c>
      <c r="I488" s="392">
        <v>4.84</v>
      </c>
      <c r="J488" s="392">
        <v>57.240000000000009</v>
      </c>
      <c r="K488" s="392">
        <f t="shared" si="15"/>
        <v>57.240000000000009</v>
      </c>
    </row>
    <row r="489" spans="5:11">
      <c r="E489" s="392">
        <v>155.02500000000001</v>
      </c>
      <c r="F489" s="392">
        <v>1.1499999999999999</v>
      </c>
      <c r="G489" s="392">
        <f t="shared" si="14"/>
        <v>1.1500000000000004</v>
      </c>
      <c r="I489" s="392">
        <v>4.8499999999999996</v>
      </c>
      <c r="J489" s="392">
        <v>56.975000000000023</v>
      </c>
      <c r="K489" s="392">
        <f t="shared" si="15"/>
        <v>56.975000000000009</v>
      </c>
    </row>
    <row r="490" spans="5:11">
      <c r="E490" s="392">
        <v>155.29</v>
      </c>
      <c r="F490" s="392">
        <v>1.1399999999999999</v>
      </c>
      <c r="G490" s="392">
        <f t="shared" si="14"/>
        <v>1.1400000000000006</v>
      </c>
      <c r="I490" s="392">
        <v>4.8600000000000003</v>
      </c>
      <c r="J490" s="392">
        <v>56.70999999999998</v>
      </c>
      <c r="K490" s="392">
        <f t="shared" si="15"/>
        <v>56.709999999999994</v>
      </c>
    </row>
    <row r="491" spans="5:11">
      <c r="E491" s="392">
        <v>155.55500000000001</v>
      </c>
      <c r="F491" s="392">
        <v>1.1299999999999999</v>
      </c>
      <c r="G491" s="392">
        <f t="shared" si="14"/>
        <v>1.1299999999999999</v>
      </c>
      <c r="I491" s="392">
        <v>4.87</v>
      </c>
      <c r="J491" s="392">
        <v>56.444999999999993</v>
      </c>
      <c r="K491" s="392">
        <f t="shared" si="15"/>
        <v>56.445</v>
      </c>
    </row>
    <row r="492" spans="5:11">
      <c r="E492" s="392">
        <v>155.82</v>
      </c>
      <c r="F492" s="392">
        <v>1.1200000000000001</v>
      </c>
      <c r="G492" s="392">
        <f t="shared" si="14"/>
        <v>1.1200000000000001</v>
      </c>
      <c r="I492" s="392">
        <v>4.88</v>
      </c>
      <c r="J492" s="392">
        <v>56.180000000000007</v>
      </c>
      <c r="K492" s="392">
        <f t="shared" si="15"/>
        <v>56.180000000000007</v>
      </c>
    </row>
    <row r="493" spans="5:11">
      <c r="E493" s="392">
        <v>156.08500000000001</v>
      </c>
      <c r="F493" s="392">
        <v>1.1100000000000001</v>
      </c>
      <c r="G493" s="392">
        <f t="shared" si="14"/>
        <v>1.1100000000000003</v>
      </c>
      <c r="I493" s="392">
        <v>4.8899999999999997</v>
      </c>
      <c r="J493" s="392">
        <v>55.91500000000002</v>
      </c>
      <c r="K493" s="392">
        <f t="shared" si="15"/>
        <v>55.915000000000013</v>
      </c>
    </row>
    <row r="494" spans="5:11">
      <c r="E494" s="392">
        <v>156.35</v>
      </c>
      <c r="F494" s="392">
        <v>1.1000000000000001</v>
      </c>
      <c r="G494" s="392">
        <f t="shared" si="14"/>
        <v>1.1000000000000005</v>
      </c>
      <c r="I494" s="392">
        <v>4.9000000000000004</v>
      </c>
      <c r="J494" s="392">
        <v>55.649999999999977</v>
      </c>
      <c r="K494" s="392">
        <f t="shared" si="15"/>
        <v>55.649999999999991</v>
      </c>
    </row>
    <row r="495" spans="5:11">
      <c r="E495" s="392">
        <v>156.61500000000001</v>
      </c>
      <c r="F495" s="392">
        <v>1.0900000000000001</v>
      </c>
      <c r="G495" s="392">
        <f t="shared" si="14"/>
        <v>1.0899999999999999</v>
      </c>
      <c r="I495" s="392">
        <v>4.91</v>
      </c>
      <c r="J495" s="392">
        <v>55.384999999999991</v>
      </c>
      <c r="K495" s="392">
        <f t="shared" si="15"/>
        <v>55.384999999999998</v>
      </c>
    </row>
    <row r="496" spans="5:11">
      <c r="E496" s="392">
        <v>156.88</v>
      </c>
      <c r="F496" s="392">
        <v>1.08</v>
      </c>
      <c r="G496" s="392">
        <f t="shared" si="14"/>
        <v>1.08</v>
      </c>
      <c r="I496" s="392">
        <v>4.92</v>
      </c>
      <c r="J496" s="392">
        <v>55.120000000000005</v>
      </c>
      <c r="K496" s="392">
        <f t="shared" si="15"/>
        <v>55.120000000000005</v>
      </c>
    </row>
    <row r="497" spans="5:11">
      <c r="E497" s="392">
        <v>157.14500000000001</v>
      </c>
      <c r="F497" s="392">
        <v>1.07</v>
      </c>
      <c r="G497" s="392">
        <f t="shared" si="14"/>
        <v>1.0700000000000003</v>
      </c>
      <c r="I497" s="392">
        <v>4.93</v>
      </c>
      <c r="J497" s="392">
        <v>54.855000000000018</v>
      </c>
      <c r="K497" s="392">
        <f t="shared" si="15"/>
        <v>54.855000000000011</v>
      </c>
    </row>
    <row r="498" spans="5:11">
      <c r="E498" s="392">
        <v>157.41</v>
      </c>
      <c r="F498" s="392">
        <v>1.06</v>
      </c>
      <c r="G498" s="392">
        <f t="shared" si="14"/>
        <v>1.0600000000000005</v>
      </c>
      <c r="I498" s="392">
        <v>4.9400000000000004</v>
      </c>
      <c r="J498" s="392">
        <v>54.59</v>
      </c>
      <c r="K498" s="392">
        <f t="shared" si="15"/>
        <v>54.589999999999989</v>
      </c>
    </row>
    <row r="499" spans="5:11">
      <c r="E499" s="392">
        <v>157.67500000000001</v>
      </c>
      <c r="F499" s="392">
        <v>1.05</v>
      </c>
      <c r="G499" s="392">
        <f t="shared" si="14"/>
        <v>1.0499999999999998</v>
      </c>
      <c r="I499" s="392">
        <v>4.95</v>
      </c>
      <c r="J499" s="392">
        <v>54.324999999999989</v>
      </c>
      <c r="K499" s="392">
        <f t="shared" si="15"/>
        <v>54.324999999999996</v>
      </c>
    </row>
    <row r="500" spans="5:11">
      <c r="E500" s="392">
        <v>157.94</v>
      </c>
      <c r="F500" s="392">
        <v>1.04</v>
      </c>
      <c r="G500" s="392">
        <f t="shared" si="14"/>
        <v>1.04</v>
      </c>
      <c r="I500" s="392">
        <v>4.96</v>
      </c>
      <c r="J500" s="392">
        <v>54.06</v>
      </c>
      <c r="K500" s="392">
        <f t="shared" si="15"/>
        <v>54.06</v>
      </c>
    </row>
    <row r="501" spans="5:11">
      <c r="E501" s="392">
        <v>158.20499999999998</v>
      </c>
      <c r="F501" s="392">
        <v>1.03</v>
      </c>
      <c r="G501" s="392">
        <f t="shared" si="14"/>
        <v>1.0300000000000011</v>
      </c>
      <c r="I501" s="392">
        <v>4.97</v>
      </c>
      <c r="J501" s="392">
        <v>53.795000000000016</v>
      </c>
      <c r="K501" s="392">
        <f t="shared" si="15"/>
        <v>53.795000000000009</v>
      </c>
    </row>
    <row r="502" spans="5:11">
      <c r="E502" s="392">
        <v>158.47</v>
      </c>
      <c r="F502" s="392">
        <v>1.02</v>
      </c>
      <c r="G502" s="392">
        <f t="shared" si="14"/>
        <v>1.0200000000000005</v>
      </c>
      <c r="I502" s="392">
        <v>4.9800000000000004</v>
      </c>
      <c r="J502" s="392">
        <v>53.53</v>
      </c>
      <c r="K502" s="392">
        <f t="shared" si="15"/>
        <v>53.529999999999994</v>
      </c>
    </row>
    <row r="503" spans="5:11">
      <c r="E503" s="392">
        <v>158.73500000000001</v>
      </c>
      <c r="F503" s="392">
        <v>1.01</v>
      </c>
      <c r="G503" s="392">
        <f t="shared" si="14"/>
        <v>1.0099999999999998</v>
      </c>
      <c r="I503" s="392">
        <v>4.99</v>
      </c>
      <c r="J503" s="392">
        <v>53.264999999999986</v>
      </c>
      <c r="K503" s="392">
        <f t="shared" si="15"/>
        <v>53.264999999999993</v>
      </c>
    </row>
    <row r="504" spans="5:11">
      <c r="E504" s="392">
        <v>159</v>
      </c>
      <c r="F504" s="392">
        <v>1</v>
      </c>
      <c r="G504" s="392">
        <f t="shared" si="14"/>
        <v>1</v>
      </c>
      <c r="I504" s="392">
        <v>5</v>
      </c>
      <c r="J504" s="392">
        <v>53</v>
      </c>
      <c r="K504" s="392">
        <f t="shared" si="15"/>
        <v>53</v>
      </c>
    </row>
    <row r="505" spans="5:11">
      <c r="E505" s="392">
        <v>159.26499999999999</v>
      </c>
      <c r="F505" s="392">
        <v>0.99</v>
      </c>
      <c r="G505" s="392">
        <f t="shared" si="14"/>
        <v>0.9900000000000011</v>
      </c>
      <c r="I505" s="392">
        <v>5.01</v>
      </c>
      <c r="J505" s="392">
        <v>52.735000000000014</v>
      </c>
      <c r="K505" s="392">
        <f t="shared" si="15"/>
        <v>52.735000000000007</v>
      </c>
    </row>
    <row r="506" spans="5:11">
      <c r="E506" s="392">
        <v>159.53</v>
      </c>
      <c r="F506" s="392">
        <v>0.98</v>
      </c>
      <c r="G506" s="392">
        <f t="shared" si="14"/>
        <v>0.98000000000000043</v>
      </c>
      <c r="I506" s="392">
        <v>5.0199999999999996</v>
      </c>
      <c r="J506" s="392">
        <v>52.47</v>
      </c>
      <c r="K506" s="392">
        <f t="shared" si="15"/>
        <v>52.470000000000013</v>
      </c>
    </row>
    <row r="507" spans="5:11">
      <c r="E507" s="392">
        <v>159.79500000000002</v>
      </c>
      <c r="F507" s="392">
        <v>0.97</v>
      </c>
      <c r="G507" s="392">
        <f t="shared" si="14"/>
        <v>0.96999999999999975</v>
      </c>
      <c r="I507" s="392">
        <v>5.03</v>
      </c>
      <c r="J507" s="392">
        <v>52.204999999999984</v>
      </c>
      <c r="K507" s="392">
        <f t="shared" si="15"/>
        <v>52.204999999999998</v>
      </c>
    </row>
    <row r="508" spans="5:11">
      <c r="E508" s="392">
        <v>160.06</v>
      </c>
      <c r="F508" s="392">
        <v>0.96</v>
      </c>
      <c r="G508" s="392">
        <f t="shared" si="14"/>
        <v>0.96</v>
      </c>
      <c r="I508" s="392">
        <v>5.04</v>
      </c>
      <c r="J508" s="392">
        <v>51.94</v>
      </c>
      <c r="K508" s="392">
        <f t="shared" si="15"/>
        <v>51.94</v>
      </c>
    </row>
    <row r="509" spans="5:11">
      <c r="E509" s="392">
        <v>160.32499999999999</v>
      </c>
      <c r="F509" s="392">
        <v>0.95</v>
      </c>
      <c r="G509" s="392">
        <f t="shared" si="14"/>
        <v>0.95000000000000107</v>
      </c>
      <c r="I509" s="392">
        <v>5.05</v>
      </c>
      <c r="J509" s="392">
        <v>51.675000000000011</v>
      </c>
      <c r="K509" s="392">
        <f t="shared" si="15"/>
        <v>51.675000000000004</v>
      </c>
    </row>
    <row r="510" spans="5:11">
      <c r="E510" s="392">
        <v>160.59</v>
      </c>
      <c r="F510" s="392">
        <v>0.94</v>
      </c>
      <c r="G510" s="392">
        <f t="shared" si="14"/>
        <v>0.94000000000000039</v>
      </c>
      <c r="I510" s="392">
        <v>5.0599999999999996</v>
      </c>
      <c r="J510" s="392">
        <v>51.41</v>
      </c>
      <c r="K510" s="392">
        <f t="shared" si="15"/>
        <v>51.410000000000011</v>
      </c>
    </row>
    <row r="511" spans="5:11">
      <c r="E511" s="392">
        <v>160.85499999999999</v>
      </c>
      <c r="F511" s="392">
        <v>0.93</v>
      </c>
      <c r="G511" s="392">
        <f t="shared" si="14"/>
        <v>0.9300000000000006</v>
      </c>
      <c r="I511" s="392">
        <v>5.07</v>
      </c>
      <c r="J511" s="392">
        <v>51.144999999999982</v>
      </c>
      <c r="K511" s="392">
        <f t="shared" si="15"/>
        <v>51.144999999999996</v>
      </c>
    </row>
    <row r="512" spans="5:11">
      <c r="E512" s="392">
        <v>161.12</v>
      </c>
      <c r="F512" s="392">
        <v>0.92</v>
      </c>
      <c r="G512" s="392">
        <f t="shared" si="14"/>
        <v>0.91999999999999993</v>
      </c>
      <c r="I512" s="392">
        <v>5.08</v>
      </c>
      <c r="J512" s="392">
        <v>50.879999999999995</v>
      </c>
      <c r="K512" s="392">
        <f t="shared" si="15"/>
        <v>50.88</v>
      </c>
    </row>
    <row r="513" spans="5:11">
      <c r="E513" s="392">
        <v>161.38499999999999</v>
      </c>
      <c r="F513" s="392">
        <v>0.91</v>
      </c>
      <c r="G513" s="392">
        <f t="shared" si="14"/>
        <v>0.91000000000000014</v>
      </c>
      <c r="I513" s="392">
        <v>5.09</v>
      </c>
      <c r="J513" s="392">
        <v>50.615000000000009</v>
      </c>
      <c r="K513" s="392">
        <f t="shared" si="15"/>
        <v>50.615000000000009</v>
      </c>
    </row>
    <row r="514" spans="5:11">
      <c r="E514" s="392">
        <v>161.65</v>
      </c>
      <c r="F514" s="392">
        <v>0.9</v>
      </c>
      <c r="G514" s="392">
        <f t="shared" si="14"/>
        <v>0.90000000000000036</v>
      </c>
      <c r="I514" s="392">
        <v>5.0999999999999996</v>
      </c>
      <c r="J514" s="392">
        <v>50.350000000000023</v>
      </c>
      <c r="K514" s="392">
        <f t="shared" si="15"/>
        <v>50.350000000000009</v>
      </c>
    </row>
    <row r="515" spans="5:11">
      <c r="E515" s="392">
        <v>161.91499999999999</v>
      </c>
      <c r="F515" s="392">
        <v>0.89</v>
      </c>
      <c r="G515" s="392">
        <f t="shared" si="14"/>
        <v>0.89000000000000057</v>
      </c>
      <c r="I515" s="392">
        <v>5.1100000000000003</v>
      </c>
      <c r="J515" s="392">
        <v>50.08499999999998</v>
      </c>
      <c r="K515" s="392">
        <f t="shared" si="15"/>
        <v>50.084999999999994</v>
      </c>
    </row>
    <row r="516" spans="5:11">
      <c r="E516" s="392">
        <v>162.18</v>
      </c>
      <c r="F516" s="392">
        <v>0.88</v>
      </c>
      <c r="G516" s="392">
        <f t="shared" si="14"/>
        <v>0.87999999999999989</v>
      </c>
      <c r="I516" s="392">
        <v>5.12</v>
      </c>
      <c r="J516" s="392">
        <v>49.819999999999993</v>
      </c>
      <c r="K516" s="392">
        <f t="shared" si="15"/>
        <v>49.82</v>
      </c>
    </row>
    <row r="517" spans="5:11">
      <c r="E517" s="392">
        <v>162.44499999999999</v>
      </c>
      <c r="F517" s="392">
        <v>0.87</v>
      </c>
      <c r="G517" s="392">
        <f t="shared" ref="G517:G580" si="16">E517*(-6/159)+7</f>
        <v>0.87000000000000011</v>
      </c>
      <c r="I517" s="392">
        <v>5.13</v>
      </c>
      <c r="J517" s="392">
        <v>49.555000000000007</v>
      </c>
      <c r="K517" s="392">
        <f t="shared" ref="K517:K580" si="17">(I517-7)/(-6/159)</f>
        <v>49.555000000000007</v>
      </c>
    </row>
    <row r="518" spans="5:11">
      <c r="E518" s="392">
        <v>162.71</v>
      </c>
      <c r="F518" s="392">
        <v>0.86</v>
      </c>
      <c r="G518" s="392">
        <f t="shared" si="16"/>
        <v>0.86000000000000032</v>
      </c>
      <c r="I518" s="392">
        <v>5.14</v>
      </c>
      <c r="J518" s="392">
        <v>49.29000000000002</v>
      </c>
      <c r="K518" s="392">
        <f t="shared" si="17"/>
        <v>49.290000000000013</v>
      </c>
    </row>
    <row r="519" spans="5:11">
      <c r="E519" s="392">
        <v>162.97499999999999</v>
      </c>
      <c r="F519" s="392">
        <v>0.85</v>
      </c>
      <c r="G519" s="392">
        <f t="shared" si="16"/>
        <v>0.85000000000000053</v>
      </c>
      <c r="I519" s="392">
        <v>5.15</v>
      </c>
      <c r="J519" s="392">
        <v>49.024999999999977</v>
      </c>
      <c r="K519" s="392">
        <f t="shared" si="17"/>
        <v>49.024999999999991</v>
      </c>
    </row>
    <row r="520" spans="5:11">
      <c r="E520" s="392">
        <v>163.24</v>
      </c>
      <c r="F520" s="392">
        <v>0.84</v>
      </c>
      <c r="G520" s="392">
        <f t="shared" si="16"/>
        <v>0.83999999999999986</v>
      </c>
      <c r="I520" s="392">
        <v>5.16</v>
      </c>
      <c r="J520" s="392">
        <v>48.759999999999991</v>
      </c>
      <c r="K520" s="392">
        <f t="shared" si="17"/>
        <v>48.76</v>
      </c>
    </row>
    <row r="521" spans="5:11">
      <c r="E521" s="392">
        <v>163.505</v>
      </c>
      <c r="F521" s="392">
        <v>0.83</v>
      </c>
      <c r="G521" s="392">
        <f t="shared" si="16"/>
        <v>0.83000000000000007</v>
      </c>
      <c r="I521" s="392">
        <v>5.17</v>
      </c>
      <c r="J521" s="392">
        <v>48.495000000000005</v>
      </c>
      <c r="K521" s="392">
        <f t="shared" si="17"/>
        <v>48.495000000000005</v>
      </c>
    </row>
    <row r="522" spans="5:11">
      <c r="E522" s="392">
        <v>163.77000000000001</v>
      </c>
      <c r="F522" s="392">
        <v>0.82</v>
      </c>
      <c r="G522" s="392">
        <f t="shared" si="16"/>
        <v>0.82000000000000028</v>
      </c>
      <c r="I522" s="392">
        <v>5.18</v>
      </c>
      <c r="J522" s="392">
        <v>48.230000000000018</v>
      </c>
      <c r="K522" s="392">
        <f t="shared" si="17"/>
        <v>48.230000000000011</v>
      </c>
    </row>
    <row r="523" spans="5:11">
      <c r="E523" s="392">
        <v>164.035</v>
      </c>
      <c r="F523" s="392">
        <v>0.81</v>
      </c>
      <c r="G523" s="392">
        <f t="shared" si="16"/>
        <v>0.8100000000000005</v>
      </c>
      <c r="I523" s="392">
        <v>5.19</v>
      </c>
      <c r="J523" s="392">
        <v>47.965000000000003</v>
      </c>
      <c r="K523" s="392">
        <f t="shared" si="17"/>
        <v>47.964999999999989</v>
      </c>
    </row>
    <row r="524" spans="5:11">
      <c r="E524" s="392">
        <v>164.3</v>
      </c>
      <c r="F524" s="392">
        <v>0.8</v>
      </c>
      <c r="G524" s="392">
        <f t="shared" si="16"/>
        <v>0.79999999999999982</v>
      </c>
      <c r="I524" s="392">
        <v>5.2</v>
      </c>
      <c r="J524" s="392">
        <v>47.699999999999989</v>
      </c>
      <c r="K524" s="392">
        <f t="shared" si="17"/>
        <v>47.699999999999996</v>
      </c>
    </row>
    <row r="525" spans="5:11">
      <c r="E525" s="392">
        <v>164.565</v>
      </c>
      <c r="F525" s="392">
        <v>0.79</v>
      </c>
      <c r="G525" s="392">
        <f t="shared" si="16"/>
        <v>0.79</v>
      </c>
      <c r="I525" s="392">
        <v>5.21</v>
      </c>
      <c r="J525" s="392">
        <v>47.435000000000002</v>
      </c>
      <c r="K525" s="392">
        <f t="shared" si="17"/>
        <v>47.435000000000002</v>
      </c>
    </row>
    <row r="526" spans="5:11">
      <c r="E526" s="392">
        <v>164.82999999999998</v>
      </c>
      <c r="F526" s="392">
        <v>0.78</v>
      </c>
      <c r="G526" s="392">
        <f t="shared" si="16"/>
        <v>0.78000000000000114</v>
      </c>
      <c r="I526" s="392">
        <v>5.22</v>
      </c>
      <c r="J526" s="392">
        <v>47.170000000000016</v>
      </c>
      <c r="K526" s="392">
        <f t="shared" si="17"/>
        <v>47.170000000000009</v>
      </c>
    </row>
    <row r="527" spans="5:11">
      <c r="E527" s="392">
        <v>165.095</v>
      </c>
      <c r="F527" s="392">
        <v>0.77</v>
      </c>
      <c r="G527" s="392">
        <f t="shared" si="16"/>
        <v>0.77000000000000046</v>
      </c>
      <c r="I527" s="392">
        <v>5.23</v>
      </c>
      <c r="J527" s="392">
        <v>46.905000000000001</v>
      </c>
      <c r="K527" s="392">
        <f t="shared" si="17"/>
        <v>46.904999999999994</v>
      </c>
    </row>
    <row r="528" spans="5:11">
      <c r="E528" s="392">
        <v>165.36</v>
      </c>
      <c r="F528" s="392">
        <v>0.76</v>
      </c>
      <c r="G528" s="392">
        <f t="shared" si="16"/>
        <v>0.75999999999999979</v>
      </c>
      <c r="I528" s="392">
        <v>5.24</v>
      </c>
      <c r="J528" s="392">
        <v>46.639999999999986</v>
      </c>
      <c r="K528" s="392">
        <f t="shared" si="17"/>
        <v>46.639999999999993</v>
      </c>
    </row>
    <row r="529" spans="5:11">
      <c r="E529" s="392">
        <v>165.625</v>
      </c>
      <c r="F529" s="392">
        <v>0.75</v>
      </c>
      <c r="G529" s="392">
        <f t="shared" si="16"/>
        <v>0.75</v>
      </c>
      <c r="I529" s="392">
        <v>5.25</v>
      </c>
      <c r="J529" s="392">
        <v>46.375</v>
      </c>
      <c r="K529" s="392">
        <f t="shared" si="17"/>
        <v>46.375</v>
      </c>
    </row>
    <row r="530" spans="5:11">
      <c r="E530" s="392">
        <v>165.89</v>
      </c>
      <c r="F530" s="392">
        <v>0.74</v>
      </c>
      <c r="G530" s="392">
        <f t="shared" si="16"/>
        <v>0.7400000000000011</v>
      </c>
      <c r="I530" s="392">
        <v>5.26</v>
      </c>
      <c r="J530" s="392">
        <v>46.110000000000014</v>
      </c>
      <c r="K530" s="392">
        <f t="shared" si="17"/>
        <v>46.110000000000007</v>
      </c>
    </row>
    <row r="531" spans="5:11">
      <c r="E531" s="392">
        <v>166.155</v>
      </c>
      <c r="F531" s="392">
        <v>0.73</v>
      </c>
      <c r="G531" s="392">
        <f t="shared" si="16"/>
        <v>0.73000000000000043</v>
      </c>
      <c r="I531" s="392">
        <v>5.27</v>
      </c>
      <c r="J531" s="392">
        <v>45.844999999999999</v>
      </c>
      <c r="K531" s="392">
        <f t="shared" si="17"/>
        <v>45.845000000000013</v>
      </c>
    </row>
    <row r="532" spans="5:11">
      <c r="E532" s="392">
        <v>166.42000000000002</v>
      </c>
      <c r="F532" s="392">
        <v>0.72</v>
      </c>
      <c r="G532" s="392">
        <f t="shared" si="16"/>
        <v>0.71999999999999975</v>
      </c>
      <c r="I532" s="392">
        <v>5.28</v>
      </c>
      <c r="J532" s="392">
        <v>45.579999999999984</v>
      </c>
      <c r="K532" s="392">
        <f t="shared" si="17"/>
        <v>45.58</v>
      </c>
    </row>
    <row r="533" spans="5:11">
      <c r="E533" s="392">
        <v>166.685</v>
      </c>
      <c r="F533" s="392">
        <v>0.71</v>
      </c>
      <c r="G533" s="392">
        <f t="shared" si="16"/>
        <v>0.71</v>
      </c>
      <c r="I533" s="392">
        <v>5.29</v>
      </c>
      <c r="J533" s="392">
        <v>45.314999999999998</v>
      </c>
      <c r="K533" s="392">
        <f t="shared" si="17"/>
        <v>45.314999999999998</v>
      </c>
    </row>
    <row r="534" spans="5:11">
      <c r="E534" s="392">
        <v>166.95</v>
      </c>
      <c r="F534" s="392">
        <v>0.7</v>
      </c>
      <c r="G534" s="392">
        <f t="shared" si="16"/>
        <v>0.70000000000000107</v>
      </c>
      <c r="I534" s="392">
        <v>5.3</v>
      </c>
      <c r="J534" s="392">
        <v>45.050000000000011</v>
      </c>
      <c r="K534" s="392">
        <f t="shared" si="17"/>
        <v>45.050000000000004</v>
      </c>
    </row>
    <row r="535" spans="5:11">
      <c r="E535" s="392">
        <v>167.215</v>
      </c>
      <c r="F535" s="392">
        <v>0.69</v>
      </c>
      <c r="G535" s="392">
        <f t="shared" si="16"/>
        <v>0.69000000000000039</v>
      </c>
      <c r="I535" s="392">
        <v>5.31</v>
      </c>
      <c r="J535" s="392">
        <v>44.784999999999997</v>
      </c>
      <c r="K535" s="392">
        <f t="shared" si="17"/>
        <v>44.785000000000011</v>
      </c>
    </row>
    <row r="536" spans="5:11">
      <c r="E536" s="392">
        <v>167.48</v>
      </c>
      <c r="F536" s="392">
        <v>0.68</v>
      </c>
      <c r="G536" s="392">
        <f t="shared" si="16"/>
        <v>0.6800000000000006</v>
      </c>
      <c r="I536" s="392">
        <v>5.32</v>
      </c>
      <c r="J536" s="392">
        <v>44.519999999999982</v>
      </c>
      <c r="K536" s="392">
        <f t="shared" si="17"/>
        <v>44.519999999999996</v>
      </c>
    </row>
    <row r="537" spans="5:11">
      <c r="E537" s="392">
        <v>167.745</v>
      </c>
      <c r="F537" s="392">
        <v>0.67</v>
      </c>
      <c r="G537" s="392">
        <f t="shared" si="16"/>
        <v>0.66999999999999993</v>
      </c>
      <c r="I537" s="392">
        <v>5.33</v>
      </c>
      <c r="J537" s="392">
        <v>44.254999999999995</v>
      </c>
      <c r="K537" s="392">
        <f t="shared" si="17"/>
        <v>44.255000000000003</v>
      </c>
    </row>
    <row r="538" spans="5:11">
      <c r="E538" s="392">
        <v>168.01</v>
      </c>
      <c r="F538" s="392">
        <v>0.66</v>
      </c>
      <c r="G538" s="392">
        <f t="shared" si="16"/>
        <v>0.66000000000000014</v>
      </c>
      <c r="I538" s="392">
        <v>5.34</v>
      </c>
      <c r="J538" s="392">
        <v>43.990000000000009</v>
      </c>
      <c r="K538" s="392">
        <f t="shared" si="17"/>
        <v>43.99</v>
      </c>
    </row>
    <row r="539" spans="5:11">
      <c r="E539" s="392">
        <v>168.27500000000001</v>
      </c>
      <c r="F539" s="392">
        <v>0.65</v>
      </c>
      <c r="G539" s="392">
        <f t="shared" si="16"/>
        <v>0.65000000000000036</v>
      </c>
      <c r="I539" s="392">
        <v>5.35</v>
      </c>
      <c r="J539" s="392">
        <v>43.725000000000023</v>
      </c>
      <c r="K539" s="392">
        <f t="shared" si="17"/>
        <v>43.725000000000009</v>
      </c>
    </row>
    <row r="540" spans="5:11">
      <c r="E540" s="392">
        <v>168.54</v>
      </c>
      <c r="F540" s="392">
        <v>0.64</v>
      </c>
      <c r="G540" s="392">
        <f t="shared" si="16"/>
        <v>0.64000000000000057</v>
      </c>
      <c r="I540" s="392">
        <v>5.36</v>
      </c>
      <c r="J540" s="392">
        <v>43.45999999999998</v>
      </c>
      <c r="K540" s="392">
        <f t="shared" si="17"/>
        <v>43.459999999999994</v>
      </c>
    </row>
    <row r="541" spans="5:11">
      <c r="E541" s="392">
        <v>168.80500000000001</v>
      </c>
      <c r="F541" s="392">
        <v>0.63</v>
      </c>
      <c r="G541" s="392">
        <f t="shared" si="16"/>
        <v>0.62999999999999989</v>
      </c>
      <c r="I541" s="392">
        <v>5.37</v>
      </c>
      <c r="J541" s="392">
        <v>43.194999999999993</v>
      </c>
      <c r="K541" s="392">
        <f t="shared" si="17"/>
        <v>43.195</v>
      </c>
    </row>
    <row r="542" spans="5:11">
      <c r="E542" s="392">
        <v>169.07</v>
      </c>
      <c r="F542" s="392">
        <v>0.62</v>
      </c>
      <c r="G542" s="392">
        <f t="shared" si="16"/>
        <v>0.62000000000000011</v>
      </c>
      <c r="I542" s="392">
        <v>5.38</v>
      </c>
      <c r="J542" s="392">
        <v>42.930000000000007</v>
      </c>
      <c r="K542" s="392">
        <f t="shared" si="17"/>
        <v>42.930000000000007</v>
      </c>
    </row>
    <row r="543" spans="5:11">
      <c r="E543" s="392">
        <v>169.33500000000001</v>
      </c>
      <c r="F543" s="392">
        <v>0.61</v>
      </c>
      <c r="G543" s="392">
        <f t="shared" si="16"/>
        <v>0.61000000000000032</v>
      </c>
      <c r="I543" s="392">
        <v>5.39</v>
      </c>
      <c r="J543" s="392">
        <v>42.66500000000002</v>
      </c>
      <c r="K543" s="392">
        <f t="shared" si="17"/>
        <v>42.665000000000013</v>
      </c>
    </row>
    <row r="544" spans="5:11">
      <c r="E544" s="392">
        <v>169.6</v>
      </c>
      <c r="F544" s="392">
        <v>0.6</v>
      </c>
      <c r="G544" s="392">
        <f t="shared" si="16"/>
        <v>0.60000000000000053</v>
      </c>
      <c r="I544" s="392">
        <v>5.4</v>
      </c>
      <c r="J544" s="392">
        <v>42.399999999999977</v>
      </c>
      <c r="K544" s="392">
        <f t="shared" si="17"/>
        <v>42.399999999999991</v>
      </c>
    </row>
    <row r="545" spans="5:11">
      <c r="E545" s="392">
        <v>169.86500000000001</v>
      </c>
      <c r="F545" s="392">
        <v>0.59</v>
      </c>
      <c r="G545" s="392">
        <f t="shared" si="16"/>
        <v>0.58999999999999986</v>
      </c>
      <c r="I545" s="392">
        <v>5.41</v>
      </c>
      <c r="J545" s="392">
        <v>42.134999999999991</v>
      </c>
      <c r="K545" s="392">
        <f t="shared" si="17"/>
        <v>42.134999999999998</v>
      </c>
    </row>
    <row r="546" spans="5:11">
      <c r="E546" s="392">
        <v>170.13</v>
      </c>
      <c r="F546" s="392">
        <v>0.57999999999999996</v>
      </c>
      <c r="G546" s="392">
        <f t="shared" si="16"/>
        <v>0.58000000000000007</v>
      </c>
      <c r="I546" s="392">
        <v>5.42</v>
      </c>
      <c r="J546" s="392">
        <v>41.870000000000005</v>
      </c>
      <c r="K546" s="392">
        <f t="shared" si="17"/>
        <v>41.870000000000005</v>
      </c>
    </row>
    <row r="547" spans="5:11">
      <c r="E547" s="392">
        <v>170.39500000000001</v>
      </c>
      <c r="F547" s="392">
        <v>0.56999999999999995</v>
      </c>
      <c r="G547" s="392">
        <f t="shared" si="16"/>
        <v>0.57000000000000028</v>
      </c>
      <c r="I547" s="392">
        <v>5.43</v>
      </c>
      <c r="J547" s="392">
        <v>41.605000000000018</v>
      </c>
      <c r="K547" s="392">
        <f t="shared" si="17"/>
        <v>41.605000000000011</v>
      </c>
    </row>
    <row r="548" spans="5:11">
      <c r="E548" s="392">
        <v>170.66</v>
      </c>
      <c r="F548" s="392">
        <v>0.56000000000000005</v>
      </c>
      <c r="G548" s="392">
        <f t="shared" si="16"/>
        <v>0.5600000000000005</v>
      </c>
      <c r="I548" s="392">
        <v>5.44</v>
      </c>
      <c r="J548" s="392">
        <v>41.34</v>
      </c>
      <c r="K548" s="392">
        <f t="shared" si="17"/>
        <v>41.339999999999989</v>
      </c>
    </row>
    <row r="549" spans="5:11">
      <c r="E549" s="392">
        <v>170.92500000000001</v>
      </c>
      <c r="F549" s="392">
        <v>0.55000000000000004</v>
      </c>
      <c r="G549" s="392">
        <f t="shared" si="16"/>
        <v>0.54999999999999982</v>
      </c>
      <c r="I549" s="392">
        <v>5.45</v>
      </c>
      <c r="J549" s="392">
        <v>41.074999999999989</v>
      </c>
      <c r="K549" s="392">
        <f t="shared" si="17"/>
        <v>41.074999999999996</v>
      </c>
    </row>
    <row r="550" spans="5:11">
      <c r="E550" s="392">
        <v>171.19</v>
      </c>
      <c r="F550" s="392">
        <v>0.54</v>
      </c>
      <c r="G550" s="392">
        <f t="shared" si="16"/>
        <v>0.54</v>
      </c>
      <c r="I550" s="392">
        <v>5.46</v>
      </c>
      <c r="J550" s="392">
        <v>40.81</v>
      </c>
      <c r="K550" s="392">
        <f t="shared" si="17"/>
        <v>40.81</v>
      </c>
    </row>
    <row r="551" spans="5:11">
      <c r="E551" s="392">
        <v>171.45500000000001</v>
      </c>
      <c r="F551" s="392">
        <v>0.53</v>
      </c>
      <c r="G551" s="392">
        <f t="shared" si="16"/>
        <v>0.52999999999999936</v>
      </c>
      <c r="I551" s="392">
        <v>5.47</v>
      </c>
      <c r="J551" s="392">
        <v>40.545000000000016</v>
      </c>
      <c r="K551" s="392">
        <f t="shared" si="17"/>
        <v>40.545000000000009</v>
      </c>
    </row>
    <row r="552" spans="5:11">
      <c r="E552" s="392">
        <v>171.72</v>
      </c>
      <c r="F552" s="392">
        <v>0.52</v>
      </c>
      <c r="G552" s="392">
        <f t="shared" si="16"/>
        <v>0.52000000000000046</v>
      </c>
      <c r="I552" s="392">
        <v>5.48</v>
      </c>
      <c r="J552" s="392">
        <v>40.28</v>
      </c>
      <c r="K552" s="392">
        <f t="shared" si="17"/>
        <v>40.279999999999987</v>
      </c>
    </row>
    <row r="553" spans="5:11">
      <c r="E553" s="392">
        <v>171.98500000000001</v>
      </c>
      <c r="F553" s="392">
        <v>0.51</v>
      </c>
      <c r="G553" s="392">
        <f t="shared" si="16"/>
        <v>0.50999999999999979</v>
      </c>
      <c r="I553" s="392">
        <v>5.49</v>
      </c>
      <c r="J553" s="392">
        <v>40.014999999999986</v>
      </c>
      <c r="K553" s="392">
        <f t="shared" si="17"/>
        <v>40.014999999999993</v>
      </c>
    </row>
    <row r="554" spans="5:11">
      <c r="E554" s="392">
        <v>172.25</v>
      </c>
      <c r="F554" s="392">
        <v>0.5</v>
      </c>
      <c r="G554" s="392">
        <f t="shared" si="16"/>
        <v>0.5</v>
      </c>
      <c r="I554" s="392">
        <v>5.5</v>
      </c>
      <c r="J554" s="392">
        <v>39.75</v>
      </c>
      <c r="K554" s="392">
        <f t="shared" si="17"/>
        <v>39.75</v>
      </c>
    </row>
    <row r="555" spans="5:11">
      <c r="E555" s="392">
        <v>172.51499999999999</v>
      </c>
      <c r="F555" s="392">
        <v>0.49</v>
      </c>
      <c r="G555" s="392">
        <f t="shared" si="16"/>
        <v>0.4900000000000011</v>
      </c>
      <c r="I555" s="392">
        <v>5.51</v>
      </c>
      <c r="J555" s="392">
        <v>39.485000000000014</v>
      </c>
      <c r="K555" s="392">
        <f t="shared" si="17"/>
        <v>39.485000000000007</v>
      </c>
    </row>
    <row r="556" spans="5:11">
      <c r="E556" s="392">
        <v>172.78</v>
      </c>
      <c r="F556" s="392">
        <v>0.48</v>
      </c>
      <c r="G556" s="392">
        <f t="shared" si="16"/>
        <v>0.48000000000000043</v>
      </c>
      <c r="I556" s="392">
        <v>5.52</v>
      </c>
      <c r="J556" s="392">
        <v>39.22</v>
      </c>
      <c r="K556" s="392">
        <f t="shared" si="17"/>
        <v>39.220000000000013</v>
      </c>
    </row>
    <row r="557" spans="5:11">
      <c r="E557" s="392">
        <v>173.04499999999999</v>
      </c>
      <c r="F557" s="392">
        <v>0.47</v>
      </c>
      <c r="G557" s="392">
        <f t="shared" si="16"/>
        <v>0.47000000000000064</v>
      </c>
      <c r="I557" s="392">
        <v>5.53</v>
      </c>
      <c r="J557" s="392">
        <v>38.954999999999984</v>
      </c>
      <c r="K557" s="392">
        <f t="shared" si="17"/>
        <v>38.954999999999998</v>
      </c>
    </row>
    <row r="558" spans="5:11">
      <c r="E558" s="392">
        <v>173.31</v>
      </c>
      <c r="F558" s="392">
        <v>0.46</v>
      </c>
      <c r="G558" s="392">
        <f t="shared" si="16"/>
        <v>0.45999999999999996</v>
      </c>
      <c r="I558" s="392">
        <v>5.54</v>
      </c>
      <c r="J558" s="392">
        <v>38.69</v>
      </c>
      <c r="K558" s="392">
        <f t="shared" si="17"/>
        <v>38.69</v>
      </c>
    </row>
    <row r="559" spans="5:11">
      <c r="E559" s="392">
        <v>173.57499999999999</v>
      </c>
      <c r="F559" s="392">
        <v>0.45</v>
      </c>
      <c r="G559" s="392">
        <f t="shared" si="16"/>
        <v>0.45000000000000107</v>
      </c>
      <c r="I559" s="392">
        <v>5.55</v>
      </c>
      <c r="J559" s="392">
        <v>38.425000000000011</v>
      </c>
      <c r="K559" s="392">
        <f t="shared" si="17"/>
        <v>38.425000000000004</v>
      </c>
    </row>
    <row r="560" spans="5:11">
      <c r="E560" s="392">
        <v>173.84</v>
      </c>
      <c r="F560" s="392">
        <v>0.44</v>
      </c>
      <c r="G560" s="392">
        <f t="shared" si="16"/>
        <v>0.44000000000000039</v>
      </c>
      <c r="I560" s="392">
        <v>5.56</v>
      </c>
      <c r="J560" s="392">
        <v>38.159999999999997</v>
      </c>
      <c r="K560" s="392">
        <f t="shared" si="17"/>
        <v>38.160000000000011</v>
      </c>
    </row>
    <row r="561" spans="5:11">
      <c r="E561" s="392">
        <v>174.10499999999999</v>
      </c>
      <c r="F561" s="392">
        <v>0.43</v>
      </c>
      <c r="G561" s="392">
        <f t="shared" si="16"/>
        <v>0.4300000000000006</v>
      </c>
      <c r="I561" s="392">
        <v>5.57</v>
      </c>
      <c r="J561" s="392">
        <v>37.894999999999982</v>
      </c>
      <c r="K561" s="392">
        <f t="shared" si="17"/>
        <v>37.894999999999996</v>
      </c>
    </row>
    <row r="562" spans="5:11">
      <c r="E562" s="392">
        <v>174.37</v>
      </c>
      <c r="F562" s="392">
        <v>0.42</v>
      </c>
      <c r="G562" s="392">
        <f t="shared" si="16"/>
        <v>0.41999999999999993</v>
      </c>
      <c r="I562" s="392">
        <v>5.58</v>
      </c>
      <c r="J562" s="392">
        <v>37.629999999999995</v>
      </c>
      <c r="K562" s="392">
        <f t="shared" si="17"/>
        <v>37.630000000000003</v>
      </c>
    </row>
    <row r="563" spans="5:11">
      <c r="E563" s="392">
        <v>174.63499999999999</v>
      </c>
      <c r="F563" s="392">
        <v>0.41</v>
      </c>
      <c r="G563" s="392">
        <f t="shared" si="16"/>
        <v>0.41000000000000103</v>
      </c>
      <c r="I563" s="392">
        <v>5.59</v>
      </c>
      <c r="J563" s="392">
        <v>37.365000000000009</v>
      </c>
      <c r="K563" s="392">
        <f t="shared" si="17"/>
        <v>37.365000000000002</v>
      </c>
    </row>
    <row r="564" spans="5:11">
      <c r="E564" s="392">
        <v>174.9</v>
      </c>
      <c r="F564" s="392">
        <v>0.4</v>
      </c>
      <c r="G564" s="392">
        <f t="shared" si="16"/>
        <v>0.40000000000000036</v>
      </c>
      <c r="I564" s="392">
        <v>5.6</v>
      </c>
      <c r="J564" s="392">
        <v>37.100000000000023</v>
      </c>
      <c r="K564" s="392">
        <f t="shared" si="17"/>
        <v>37.100000000000009</v>
      </c>
    </row>
    <row r="565" spans="5:11">
      <c r="E565" s="392">
        <v>175.16499999999999</v>
      </c>
      <c r="F565" s="392">
        <v>0.39</v>
      </c>
      <c r="G565" s="392">
        <f t="shared" si="16"/>
        <v>0.39000000000000057</v>
      </c>
      <c r="I565" s="392">
        <v>5.61</v>
      </c>
      <c r="J565" s="392">
        <v>36.83499999999998</v>
      </c>
      <c r="K565" s="392">
        <f t="shared" si="17"/>
        <v>36.834999999999994</v>
      </c>
    </row>
    <row r="566" spans="5:11">
      <c r="E566" s="392">
        <v>175.43</v>
      </c>
      <c r="F566" s="392">
        <v>0.38</v>
      </c>
      <c r="G566" s="392">
        <f t="shared" si="16"/>
        <v>0.37999999999999989</v>
      </c>
      <c r="I566" s="392">
        <v>5.62</v>
      </c>
      <c r="J566" s="392">
        <v>36.569999999999993</v>
      </c>
      <c r="K566" s="392">
        <f t="shared" si="17"/>
        <v>36.57</v>
      </c>
    </row>
    <row r="567" spans="5:11">
      <c r="E567" s="392">
        <v>175.69499999999999</v>
      </c>
      <c r="F567" s="392">
        <v>0.37</v>
      </c>
      <c r="G567" s="392">
        <f t="shared" si="16"/>
        <v>0.37000000000000011</v>
      </c>
      <c r="I567" s="392">
        <v>5.63</v>
      </c>
      <c r="J567" s="392">
        <v>36.305000000000007</v>
      </c>
      <c r="K567" s="392">
        <f t="shared" si="17"/>
        <v>36.305000000000007</v>
      </c>
    </row>
    <row r="568" spans="5:11">
      <c r="E568" s="392">
        <v>175.96</v>
      </c>
      <c r="F568" s="392">
        <v>0.36</v>
      </c>
      <c r="G568" s="392">
        <f t="shared" si="16"/>
        <v>0.36000000000000032</v>
      </c>
      <c r="I568" s="392">
        <v>5.64</v>
      </c>
      <c r="J568" s="392">
        <v>36.04000000000002</v>
      </c>
      <c r="K568" s="392">
        <f t="shared" si="17"/>
        <v>36.040000000000013</v>
      </c>
    </row>
    <row r="569" spans="5:11">
      <c r="E569" s="392">
        <v>176.22499999999999</v>
      </c>
      <c r="F569" s="392">
        <v>0.35</v>
      </c>
      <c r="G569" s="392">
        <f t="shared" si="16"/>
        <v>0.35000000000000053</v>
      </c>
      <c r="I569" s="392">
        <v>5.65</v>
      </c>
      <c r="J569" s="392">
        <v>35.774999999999977</v>
      </c>
      <c r="K569" s="392">
        <f t="shared" si="17"/>
        <v>35.774999999999991</v>
      </c>
    </row>
    <row r="570" spans="5:11">
      <c r="E570" s="392">
        <v>176.49</v>
      </c>
      <c r="F570" s="392">
        <v>0.34</v>
      </c>
      <c r="G570" s="392">
        <f t="shared" si="16"/>
        <v>0.33999999999999986</v>
      </c>
      <c r="I570" s="392">
        <v>5.66</v>
      </c>
      <c r="J570" s="392">
        <v>35.509999999999991</v>
      </c>
      <c r="K570" s="392">
        <f t="shared" si="17"/>
        <v>35.51</v>
      </c>
    </row>
    <row r="571" spans="5:11">
      <c r="E571" s="392">
        <v>176.755</v>
      </c>
      <c r="F571" s="392">
        <v>0.33</v>
      </c>
      <c r="G571" s="392">
        <f t="shared" si="16"/>
        <v>0.33000000000000007</v>
      </c>
      <c r="I571" s="392">
        <v>5.67</v>
      </c>
      <c r="J571" s="392">
        <v>35.245000000000005</v>
      </c>
      <c r="K571" s="392">
        <f t="shared" si="17"/>
        <v>35.245000000000005</v>
      </c>
    </row>
    <row r="572" spans="5:11">
      <c r="E572" s="392">
        <v>177.02</v>
      </c>
      <c r="F572" s="392">
        <v>0.32</v>
      </c>
      <c r="G572" s="392">
        <f t="shared" si="16"/>
        <v>0.32000000000000028</v>
      </c>
      <c r="I572" s="392">
        <v>5.68</v>
      </c>
      <c r="J572" s="392">
        <v>34.980000000000018</v>
      </c>
      <c r="K572" s="392">
        <f t="shared" si="17"/>
        <v>34.980000000000011</v>
      </c>
    </row>
    <row r="573" spans="5:11">
      <c r="E573" s="392">
        <v>177.285</v>
      </c>
      <c r="F573" s="392">
        <v>0.31</v>
      </c>
      <c r="G573" s="392">
        <f t="shared" si="16"/>
        <v>0.3100000000000005</v>
      </c>
      <c r="I573" s="392">
        <v>5.69</v>
      </c>
      <c r="J573" s="392">
        <v>34.715000000000003</v>
      </c>
      <c r="K573" s="392">
        <f t="shared" si="17"/>
        <v>34.714999999999989</v>
      </c>
    </row>
    <row r="574" spans="5:11">
      <c r="E574" s="392">
        <v>177.55</v>
      </c>
      <c r="F574" s="392">
        <v>0.3</v>
      </c>
      <c r="G574" s="392">
        <f t="shared" si="16"/>
        <v>0.29999999999999982</v>
      </c>
      <c r="I574" s="392">
        <v>5.7</v>
      </c>
      <c r="J574" s="392">
        <v>34.449999999999989</v>
      </c>
      <c r="K574" s="392">
        <f t="shared" si="17"/>
        <v>34.449999999999996</v>
      </c>
    </row>
    <row r="575" spans="5:11">
      <c r="E575" s="392">
        <v>177.815</v>
      </c>
      <c r="F575" s="392">
        <v>0.28999999999999998</v>
      </c>
      <c r="G575" s="392">
        <f t="shared" si="16"/>
        <v>0.29000000000000004</v>
      </c>
      <c r="I575" s="392">
        <v>5.71</v>
      </c>
      <c r="J575" s="392">
        <v>34.185000000000002</v>
      </c>
      <c r="K575" s="392">
        <f t="shared" si="17"/>
        <v>34.185000000000002</v>
      </c>
    </row>
    <row r="576" spans="5:11">
      <c r="E576" s="392">
        <v>178.08</v>
      </c>
      <c r="F576" s="392">
        <v>0.28000000000000003</v>
      </c>
      <c r="G576" s="392">
        <f t="shared" si="16"/>
        <v>0.27999999999999936</v>
      </c>
      <c r="I576" s="392">
        <v>5.72</v>
      </c>
      <c r="J576" s="392">
        <v>33.920000000000016</v>
      </c>
      <c r="K576" s="392">
        <f t="shared" si="17"/>
        <v>33.920000000000009</v>
      </c>
    </row>
    <row r="577" spans="5:11">
      <c r="E577" s="392">
        <v>178.345</v>
      </c>
      <c r="F577" s="392">
        <v>0.27</v>
      </c>
      <c r="G577" s="392">
        <f t="shared" si="16"/>
        <v>0.27000000000000046</v>
      </c>
      <c r="I577" s="392">
        <v>5.73</v>
      </c>
      <c r="J577" s="392">
        <v>33.655000000000001</v>
      </c>
      <c r="K577" s="392">
        <f t="shared" si="17"/>
        <v>33.654999999999987</v>
      </c>
    </row>
    <row r="578" spans="5:11">
      <c r="E578" s="392">
        <v>178.61</v>
      </c>
      <c r="F578" s="392">
        <v>0.26</v>
      </c>
      <c r="G578" s="392">
        <f t="shared" si="16"/>
        <v>0.25999999999999979</v>
      </c>
      <c r="I578" s="392">
        <v>5.74</v>
      </c>
      <c r="J578" s="392">
        <v>33.389999999999986</v>
      </c>
      <c r="K578" s="392">
        <f t="shared" si="17"/>
        <v>33.389999999999993</v>
      </c>
    </row>
    <row r="579" spans="5:11">
      <c r="E579" s="392">
        <v>178.875</v>
      </c>
      <c r="F579" s="392">
        <v>0.25</v>
      </c>
      <c r="G579" s="392">
        <f t="shared" si="16"/>
        <v>0.25</v>
      </c>
      <c r="I579" s="392">
        <v>5.75</v>
      </c>
      <c r="J579" s="392">
        <v>33.125</v>
      </c>
      <c r="K579" s="392">
        <f t="shared" si="17"/>
        <v>33.125</v>
      </c>
    </row>
    <row r="580" spans="5:11">
      <c r="E580" s="392">
        <v>179.14</v>
      </c>
      <c r="F580" s="392">
        <v>0.24</v>
      </c>
      <c r="G580" s="392">
        <f t="shared" si="16"/>
        <v>0.2400000000000011</v>
      </c>
      <c r="I580" s="392">
        <v>5.76</v>
      </c>
      <c r="J580" s="392">
        <v>32.860000000000014</v>
      </c>
      <c r="K580" s="392">
        <f t="shared" si="17"/>
        <v>32.860000000000007</v>
      </c>
    </row>
    <row r="581" spans="5:11">
      <c r="E581" s="392">
        <v>179.405</v>
      </c>
      <c r="F581" s="392">
        <v>0.23</v>
      </c>
      <c r="G581" s="392">
        <f t="shared" ref="G581:G604" si="18">E581*(-6/159)+7</f>
        <v>0.23000000000000043</v>
      </c>
      <c r="I581" s="392">
        <v>5.77</v>
      </c>
      <c r="J581" s="392">
        <v>32.594999999999999</v>
      </c>
      <c r="K581" s="392">
        <f t="shared" ref="K581:K604" si="19">(I581-7)/(-6/159)</f>
        <v>32.595000000000013</v>
      </c>
    </row>
    <row r="582" spans="5:11">
      <c r="E582" s="392">
        <v>179.67</v>
      </c>
      <c r="F582" s="392">
        <v>0.22</v>
      </c>
      <c r="G582" s="392">
        <f t="shared" si="18"/>
        <v>0.22000000000000064</v>
      </c>
      <c r="I582" s="392">
        <v>5.78</v>
      </c>
      <c r="J582" s="392">
        <v>32.329999999999984</v>
      </c>
      <c r="K582" s="392">
        <f t="shared" si="19"/>
        <v>32.329999999999991</v>
      </c>
    </row>
    <row r="583" spans="5:11">
      <c r="E583" s="392">
        <v>179.935</v>
      </c>
      <c r="F583" s="392">
        <v>0.21</v>
      </c>
      <c r="G583" s="392">
        <f t="shared" si="18"/>
        <v>0.20999999999999996</v>
      </c>
      <c r="I583" s="392">
        <v>5.79</v>
      </c>
      <c r="J583" s="392">
        <v>32.064999999999998</v>
      </c>
      <c r="K583" s="392">
        <f t="shared" si="19"/>
        <v>32.064999999999998</v>
      </c>
    </row>
    <row r="584" spans="5:11">
      <c r="E584" s="392">
        <v>180.2</v>
      </c>
      <c r="F584" s="392">
        <v>0.2</v>
      </c>
      <c r="G584" s="392">
        <f t="shared" si="18"/>
        <v>0.20000000000000107</v>
      </c>
      <c r="I584" s="392">
        <v>5.8</v>
      </c>
      <c r="J584" s="392">
        <v>31.800000000000011</v>
      </c>
      <c r="K584" s="392">
        <f t="shared" si="19"/>
        <v>31.800000000000004</v>
      </c>
    </row>
    <row r="585" spans="5:11">
      <c r="E585" s="392">
        <v>180.465</v>
      </c>
      <c r="F585" s="392">
        <v>0.19</v>
      </c>
      <c r="G585" s="392">
        <f t="shared" si="18"/>
        <v>0.19000000000000039</v>
      </c>
      <c r="I585" s="392">
        <v>5.81</v>
      </c>
      <c r="J585" s="392">
        <v>31.534999999999997</v>
      </c>
      <c r="K585" s="392">
        <f t="shared" si="19"/>
        <v>31.535000000000011</v>
      </c>
    </row>
    <row r="586" spans="5:11">
      <c r="E586" s="392">
        <v>180.73</v>
      </c>
      <c r="F586" s="392">
        <v>0.18</v>
      </c>
      <c r="G586" s="392">
        <f t="shared" si="18"/>
        <v>0.1800000000000006</v>
      </c>
      <c r="I586" s="392">
        <v>5.82</v>
      </c>
      <c r="J586" s="392">
        <v>31.269999999999982</v>
      </c>
      <c r="K586" s="392">
        <f t="shared" si="19"/>
        <v>31.269999999999992</v>
      </c>
    </row>
    <row r="587" spans="5:11">
      <c r="E587" s="392">
        <v>180.995</v>
      </c>
      <c r="F587" s="392">
        <v>0.17</v>
      </c>
      <c r="G587" s="392">
        <f t="shared" si="18"/>
        <v>0.16999999999999993</v>
      </c>
      <c r="I587" s="392">
        <v>5.83</v>
      </c>
      <c r="J587" s="392">
        <v>31.004999999999995</v>
      </c>
      <c r="K587" s="392">
        <f t="shared" si="19"/>
        <v>31.004999999999999</v>
      </c>
    </row>
    <row r="588" spans="5:11">
      <c r="E588" s="392">
        <v>181.26</v>
      </c>
      <c r="F588" s="392">
        <v>0.16</v>
      </c>
      <c r="G588" s="392">
        <f t="shared" si="18"/>
        <v>0.16000000000000103</v>
      </c>
      <c r="I588" s="392">
        <v>5.84</v>
      </c>
      <c r="J588" s="392">
        <v>30.740000000000009</v>
      </c>
      <c r="K588" s="392">
        <f t="shared" si="19"/>
        <v>30.740000000000006</v>
      </c>
    </row>
    <row r="589" spans="5:11">
      <c r="E589" s="392">
        <v>181.52500000000001</v>
      </c>
      <c r="F589" s="392">
        <v>0.15</v>
      </c>
      <c r="G589" s="392">
        <f t="shared" si="18"/>
        <v>0.15000000000000036</v>
      </c>
      <c r="I589" s="392">
        <v>5.85</v>
      </c>
      <c r="J589" s="392">
        <v>30.475000000000023</v>
      </c>
      <c r="K589" s="392">
        <f t="shared" si="19"/>
        <v>30.475000000000012</v>
      </c>
    </row>
    <row r="590" spans="5:11">
      <c r="E590" s="392">
        <v>181.79</v>
      </c>
      <c r="F590" s="392">
        <v>0.14000000000000001</v>
      </c>
      <c r="G590" s="392">
        <f t="shared" si="18"/>
        <v>0.14000000000000057</v>
      </c>
      <c r="I590" s="392">
        <v>5.86</v>
      </c>
      <c r="J590" s="392">
        <v>30.20999999999998</v>
      </c>
      <c r="K590" s="392">
        <f t="shared" si="19"/>
        <v>30.209999999999994</v>
      </c>
    </row>
    <row r="591" spans="5:11">
      <c r="E591" s="392">
        <v>182.05500000000001</v>
      </c>
      <c r="F591" s="392">
        <v>0.13</v>
      </c>
      <c r="G591" s="392">
        <f t="shared" si="18"/>
        <v>0.12999999999999989</v>
      </c>
      <c r="I591" s="392">
        <v>5.87</v>
      </c>
      <c r="J591" s="392">
        <v>29.944999999999993</v>
      </c>
      <c r="K591" s="392">
        <f t="shared" si="19"/>
        <v>29.944999999999997</v>
      </c>
    </row>
    <row r="592" spans="5:11">
      <c r="E592" s="392">
        <v>182.32</v>
      </c>
      <c r="F592" s="392">
        <v>0.12</v>
      </c>
      <c r="G592" s="392">
        <f t="shared" si="18"/>
        <v>0.12000000000000011</v>
      </c>
      <c r="I592" s="392">
        <v>5.88</v>
      </c>
      <c r="J592" s="392">
        <v>29.680000000000007</v>
      </c>
      <c r="K592" s="392">
        <f t="shared" si="19"/>
        <v>29.680000000000003</v>
      </c>
    </row>
    <row r="593" spans="5:11">
      <c r="E593" s="392">
        <v>182.58500000000001</v>
      </c>
      <c r="F593" s="392">
        <v>0.11</v>
      </c>
      <c r="G593" s="392">
        <f t="shared" si="18"/>
        <v>0.11000000000000032</v>
      </c>
      <c r="I593" s="392">
        <v>5.89</v>
      </c>
      <c r="J593" s="392">
        <v>29.41500000000002</v>
      </c>
      <c r="K593" s="392">
        <f t="shared" si="19"/>
        <v>29.41500000000001</v>
      </c>
    </row>
    <row r="594" spans="5:11">
      <c r="E594" s="392">
        <v>182.85</v>
      </c>
      <c r="F594" s="392">
        <v>0.1</v>
      </c>
      <c r="G594" s="392">
        <f t="shared" si="18"/>
        <v>0.10000000000000053</v>
      </c>
      <c r="I594" s="392">
        <v>5.9</v>
      </c>
      <c r="J594" s="392">
        <v>29.149999999999977</v>
      </c>
      <c r="K594" s="392">
        <f t="shared" si="19"/>
        <v>29.149999999999991</v>
      </c>
    </row>
    <row r="595" spans="5:11">
      <c r="E595" s="392">
        <v>183.11500000000001</v>
      </c>
      <c r="F595" s="392">
        <v>0.09</v>
      </c>
      <c r="G595" s="392">
        <f t="shared" si="18"/>
        <v>8.9999999999999858E-2</v>
      </c>
      <c r="I595" s="392">
        <v>5.91</v>
      </c>
      <c r="J595" s="392">
        <v>28.884999999999991</v>
      </c>
      <c r="K595" s="392">
        <f t="shared" si="19"/>
        <v>28.884999999999998</v>
      </c>
    </row>
    <row r="596" spans="5:11">
      <c r="E596" s="392">
        <v>183.38</v>
      </c>
      <c r="F596" s="392">
        <v>0.08</v>
      </c>
      <c r="G596" s="392">
        <f t="shared" si="18"/>
        <v>8.0000000000000071E-2</v>
      </c>
      <c r="I596" s="392">
        <v>5.92</v>
      </c>
      <c r="J596" s="392">
        <v>28.620000000000005</v>
      </c>
      <c r="K596" s="392">
        <f t="shared" si="19"/>
        <v>28.620000000000005</v>
      </c>
    </row>
    <row r="597" spans="5:11">
      <c r="E597" s="392">
        <v>183.64500000000001</v>
      </c>
      <c r="F597" s="392">
        <v>7.0000000000000007E-2</v>
      </c>
      <c r="G597" s="392">
        <f t="shared" si="18"/>
        <v>7.0000000000000284E-2</v>
      </c>
      <c r="I597" s="392">
        <v>5.93</v>
      </c>
      <c r="J597" s="392">
        <v>28.355000000000018</v>
      </c>
      <c r="K597" s="392">
        <f t="shared" si="19"/>
        <v>28.355000000000008</v>
      </c>
    </row>
    <row r="598" spans="5:11">
      <c r="E598" s="392">
        <v>183.91</v>
      </c>
      <c r="F598" s="392">
        <v>0.06</v>
      </c>
      <c r="G598" s="392">
        <f t="shared" si="18"/>
        <v>6.0000000000000497E-2</v>
      </c>
      <c r="I598" s="392">
        <v>5.94</v>
      </c>
      <c r="J598" s="392">
        <v>28.090000000000003</v>
      </c>
      <c r="K598" s="392">
        <f t="shared" si="19"/>
        <v>28.089999999999989</v>
      </c>
    </row>
    <row r="599" spans="5:11">
      <c r="E599" s="392">
        <v>184.17500000000001</v>
      </c>
      <c r="F599" s="392">
        <v>0.05</v>
      </c>
      <c r="G599" s="392">
        <f t="shared" si="18"/>
        <v>4.9999999999999822E-2</v>
      </c>
      <c r="I599" s="392">
        <v>5.95</v>
      </c>
      <c r="J599" s="392">
        <v>27.824999999999989</v>
      </c>
      <c r="K599" s="392">
        <f t="shared" si="19"/>
        <v>27.824999999999996</v>
      </c>
    </row>
    <row r="600" spans="5:11">
      <c r="E600" s="392">
        <v>184.44</v>
      </c>
      <c r="F600" s="392">
        <v>0.04</v>
      </c>
      <c r="G600" s="392">
        <f t="shared" si="18"/>
        <v>4.0000000000000036E-2</v>
      </c>
      <c r="I600" s="392">
        <v>5.96</v>
      </c>
      <c r="J600" s="392">
        <v>27.560000000000002</v>
      </c>
      <c r="K600" s="392">
        <f t="shared" si="19"/>
        <v>27.560000000000002</v>
      </c>
    </row>
    <row r="601" spans="5:11">
      <c r="E601" s="392">
        <v>184.70500000000001</v>
      </c>
      <c r="F601" s="392">
        <v>0.03</v>
      </c>
      <c r="G601" s="392">
        <f t="shared" si="18"/>
        <v>2.9999999999999361E-2</v>
      </c>
      <c r="I601" s="392">
        <v>5.97</v>
      </c>
      <c r="J601" s="392">
        <v>27.295000000000016</v>
      </c>
      <c r="K601" s="392">
        <f t="shared" si="19"/>
        <v>27.295000000000009</v>
      </c>
    </row>
    <row r="602" spans="5:11">
      <c r="E602" s="392">
        <v>184.97</v>
      </c>
      <c r="F602" s="392">
        <v>0.02</v>
      </c>
      <c r="G602" s="392">
        <f t="shared" si="18"/>
        <v>2.0000000000000462E-2</v>
      </c>
      <c r="I602" s="392">
        <v>5.98</v>
      </c>
      <c r="J602" s="392">
        <v>27.03</v>
      </c>
      <c r="K602" s="392">
        <f t="shared" si="19"/>
        <v>27.02999999999999</v>
      </c>
    </row>
    <row r="603" spans="5:11">
      <c r="E603" s="392">
        <v>185.23500000000001</v>
      </c>
      <c r="F603" s="392">
        <v>0.01</v>
      </c>
      <c r="G603" s="392">
        <f t="shared" si="18"/>
        <v>9.9999999999997868E-3</v>
      </c>
      <c r="I603" s="392">
        <v>5.99</v>
      </c>
      <c r="J603" s="392">
        <v>26.764999999999986</v>
      </c>
      <c r="K603" s="392">
        <f t="shared" si="19"/>
        <v>26.764999999999997</v>
      </c>
    </row>
    <row r="604" spans="5:11">
      <c r="E604" s="392">
        <v>185.5</v>
      </c>
      <c r="F604" s="392">
        <v>0</v>
      </c>
      <c r="G604" s="392">
        <f t="shared" si="18"/>
        <v>0</v>
      </c>
      <c r="I604" s="392">
        <v>6</v>
      </c>
      <c r="J604" s="392">
        <v>26.5</v>
      </c>
      <c r="K604" s="392">
        <f t="shared" si="19"/>
        <v>26.5</v>
      </c>
    </row>
  </sheetData>
  <phoneticPr fontId="15" type="noConversion"/>
  <pageMargins left="0.7" right="0.7" top="0.75" bottom="0.75" header="0.3" footer="0.3"/>
  <pageSetup paperSize="9" orientation="portrait"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31EE1-648D-467E-B65F-3994629DFA67}">
  <sheetPr codeName="Sheet9">
    <tabColor theme="5"/>
  </sheetPr>
  <dimension ref="A1:O34"/>
  <sheetViews>
    <sheetView workbookViewId="0">
      <selection activeCell="AV3" sqref="AV3"/>
    </sheetView>
  </sheetViews>
  <sheetFormatPr defaultRowHeight="13.9"/>
  <cols>
    <col min="1" max="2" width="16.7109375" style="396" customWidth="1"/>
    <col min="3" max="3" width="18" style="396" customWidth="1"/>
    <col min="4" max="4" width="17.5703125" style="396" customWidth="1"/>
    <col min="5" max="5" width="18" style="396" customWidth="1"/>
    <col min="6" max="6" width="17.85546875" style="396" customWidth="1"/>
    <col min="7" max="15" width="16.7109375" style="396" customWidth="1"/>
    <col min="16" max="256" width="8.85546875" style="396"/>
    <col min="257" max="271" width="16.7109375" style="396" customWidth="1"/>
    <col min="272" max="512" width="8.85546875" style="396"/>
    <col min="513" max="527" width="16.7109375" style="396" customWidth="1"/>
    <col min="528" max="768" width="8.85546875" style="396"/>
    <col min="769" max="783" width="16.7109375" style="396" customWidth="1"/>
    <col min="784" max="1024" width="8.85546875" style="396"/>
    <col min="1025" max="1039" width="16.7109375" style="396" customWidth="1"/>
    <col min="1040" max="1280" width="8.85546875" style="396"/>
    <col min="1281" max="1295" width="16.7109375" style="396" customWidth="1"/>
    <col min="1296" max="1536" width="8.85546875" style="396"/>
    <col min="1537" max="1551" width="16.7109375" style="396" customWidth="1"/>
    <col min="1552" max="1792" width="8.85546875" style="396"/>
    <col min="1793" max="1807" width="16.7109375" style="396" customWidth="1"/>
    <col min="1808" max="2048" width="8.85546875" style="396"/>
    <col min="2049" max="2063" width="16.7109375" style="396" customWidth="1"/>
    <col min="2064" max="2304" width="8.85546875" style="396"/>
    <col min="2305" max="2319" width="16.7109375" style="396" customWidth="1"/>
    <col min="2320" max="2560" width="8.85546875" style="396"/>
    <col min="2561" max="2575" width="16.7109375" style="396" customWidth="1"/>
    <col min="2576" max="2816" width="8.85546875" style="396"/>
    <col min="2817" max="2831" width="16.7109375" style="396" customWidth="1"/>
    <col min="2832" max="3072" width="8.85546875" style="396"/>
    <col min="3073" max="3087" width="16.7109375" style="396" customWidth="1"/>
    <col min="3088" max="3328" width="8.85546875" style="396"/>
    <col min="3329" max="3343" width="16.7109375" style="396" customWidth="1"/>
    <col min="3344" max="3584" width="8.85546875" style="396"/>
    <col min="3585" max="3599" width="16.7109375" style="396" customWidth="1"/>
    <col min="3600" max="3840" width="8.85546875" style="396"/>
    <col min="3841" max="3855" width="16.7109375" style="396" customWidth="1"/>
    <col min="3856" max="4096" width="8.85546875" style="396"/>
    <col min="4097" max="4111" width="16.7109375" style="396" customWidth="1"/>
    <col min="4112" max="4352" width="8.85546875" style="396"/>
    <col min="4353" max="4367" width="16.7109375" style="396" customWidth="1"/>
    <col min="4368" max="4608" width="8.85546875" style="396"/>
    <col min="4609" max="4623" width="16.7109375" style="396" customWidth="1"/>
    <col min="4624" max="4864" width="8.85546875" style="396"/>
    <col min="4865" max="4879" width="16.7109375" style="396" customWidth="1"/>
    <col min="4880" max="5120" width="8.85546875" style="396"/>
    <col min="5121" max="5135" width="16.7109375" style="396" customWidth="1"/>
    <col min="5136" max="5376" width="8.85546875" style="396"/>
    <col min="5377" max="5391" width="16.7109375" style="396" customWidth="1"/>
    <col min="5392" max="5632" width="8.85546875" style="396"/>
    <col min="5633" max="5647" width="16.7109375" style="396" customWidth="1"/>
    <col min="5648" max="5888" width="8.85546875" style="396"/>
    <col min="5889" max="5903" width="16.7109375" style="396" customWidth="1"/>
    <col min="5904" max="6144" width="8.85546875" style="396"/>
    <col min="6145" max="6159" width="16.7109375" style="396" customWidth="1"/>
    <col min="6160" max="6400" width="8.85546875" style="396"/>
    <col min="6401" max="6415" width="16.7109375" style="396" customWidth="1"/>
    <col min="6416" max="6656" width="8.85546875" style="396"/>
    <col min="6657" max="6671" width="16.7109375" style="396" customWidth="1"/>
    <col min="6672" max="6912" width="8.85546875" style="396"/>
    <col min="6913" max="6927" width="16.7109375" style="396" customWidth="1"/>
    <col min="6928" max="7168" width="8.85546875" style="396"/>
    <col min="7169" max="7183" width="16.7109375" style="396" customWidth="1"/>
    <col min="7184" max="7424" width="8.85546875" style="396"/>
    <col min="7425" max="7439" width="16.7109375" style="396" customWidth="1"/>
    <col min="7440" max="7680" width="8.85546875" style="396"/>
    <col min="7681" max="7695" width="16.7109375" style="396" customWidth="1"/>
    <col min="7696" max="7936" width="8.85546875" style="396"/>
    <col min="7937" max="7951" width="16.7109375" style="396" customWidth="1"/>
    <col min="7952" max="8192" width="8.85546875" style="396"/>
    <col min="8193" max="8207" width="16.7109375" style="396" customWidth="1"/>
    <col min="8208" max="8448" width="8.85546875" style="396"/>
    <col min="8449" max="8463" width="16.7109375" style="396" customWidth="1"/>
    <col min="8464" max="8704" width="8.85546875" style="396"/>
    <col min="8705" max="8719" width="16.7109375" style="396" customWidth="1"/>
    <col min="8720" max="8960" width="8.85546875" style="396"/>
    <col min="8961" max="8975" width="16.7109375" style="396" customWidth="1"/>
    <col min="8976" max="9216" width="8.85546875" style="396"/>
    <col min="9217" max="9231" width="16.7109375" style="396" customWidth="1"/>
    <col min="9232" max="9472" width="8.85546875" style="396"/>
    <col min="9473" max="9487" width="16.7109375" style="396" customWidth="1"/>
    <col min="9488" max="9728" width="8.85546875" style="396"/>
    <col min="9729" max="9743" width="16.7109375" style="396" customWidth="1"/>
    <col min="9744" max="9984" width="8.85546875" style="396"/>
    <col min="9985" max="9999" width="16.7109375" style="396" customWidth="1"/>
    <col min="10000" max="10240" width="8.85546875" style="396"/>
    <col min="10241" max="10255" width="16.7109375" style="396" customWidth="1"/>
    <col min="10256" max="10496" width="8.85546875" style="396"/>
    <col min="10497" max="10511" width="16.7109375" style="396" customWidth="1"/>
    <col min="10512" max="10752" width="8.85546875" style="396"/>
    <col min="10753" max="10767" width="16.7109375" style="396" customWidth="1"/>
    <col min="10768" max="11008" width="8.85546875" style="396"/>
    <col min="11009" max="11023" width="16.7109375" style="396" customWidth="1"/>
    <col min="11024" max="11264" width="8.85546875" style="396"/>
    <col min="11265" max="11279" width="16.7109375" style="396" customWidth="1"/>
    <col min="11280" max="11520" width="8.85546875" style="396"/>
    <col min="11521" max="11535" width="16.7109375" style="396" customWidth="1"/>
    <col min="11536" max="11776" width="8.85546875" style="396"/>
    <col min="11777" max="11791" width="16.7109375" style="396" customWidth="1"/>
    <col min="11792" max="12032" width="8.85546875" style="396"/>
    <col min="12033" max="12047" width="16.7109375" style="396" customWidth="1"/>
    <col min="12048" max="12288" width="8.85546875" style="396"/>
    <col min="12289" max="12303" width="16.7109375" style="396" customWidth="1"/>
    <col min="12304" max="12544" width="8.85546875" style="396"/>
    <col min="12545" max="12559" width="16.7109375" style="396" customWidth="1"/>
    <col min="12560" max="12800" width="8.85546875" style="396"/>
    <col min="12801" max="12815" width="16.7109375" style="396" customWidth="1"/>
    <col min="12816" max="13056" width="8.85546875" style="396"/>
    <col min="13057" max="13071" width="16.7109375" style="396" customWidth="1"/>
    <col min="13072" max="13312" width="8.85546875" style="396"/>
    <col min="13313" max="13327" width="16.7109375" style="396" customWidth="1"/>
    <col min="13328" max="13568" width="8.85546875" style="396"/>
    <col min="13569" max="13583" width="16.7109375" style="396" customWidth="1"/>
    <col min="13584" max="13824" width="8.85546875" style="396"/>
    <col min="13825" max="13839" width="16.7109375" style="396" customWidth="1"/>
    <col min="13840" max="14080" width="8.85546875" style="396"/>
    <col min="14081" max="14095" width="16.7109375" style="396" customWidth="1"/>
    <col min="14096" max="14336" width="8.85546875" style="396"/>
    <col min="14337" max="14351" width="16.7109375" style="396" customWidth="1"/>
    <col min="14352" max="14592" width="8.85546875" style="396"/>
    <col min="14593" max="14607" width="16.7109375" style="396" customWidth="1"/>
    <col min="14608" max="14848" width="8.85546875" style="396"/>
    <col min="14849" max="14863" width="16.7109375" style="396" customWidth="1"/>
    <col min="14864" max="15104" width="8.85546875" style="396"/>
    <col min="15105" max="15119" width="16.7109375" style="396" customWidth="1"/>
    <col min="15120" max="15360" width="8.85546875" style="396"/>
    <col min="15361" max="15375" width="16.7109375" style="396" customWidth="1"/>
    <col min="15376" max="15616" width="8.85546875" style="396"/>
    <col min="15617" max="15631" width="16.7109375" style="396" customWidth="1"/>
    <col min="15632" max="15872" width="8.85546875" style="396"/>
    <col min="15873" max="15887" width="16.7109375" style="396" customWidth="1"/>
    <col min="15888" max="16128" width="8.85546875" style="396"/>
    <col min="16129" max="16143" width="16.7109375" style="396" customWidth="1"/>
    <col min="16144" max="16384" width="8.85546875" style="396"/>
  </cols>
  <sheetData>
    <row r="1" spans="1:15" ht="41.45">
      <c r="A1" s="395" t="s">
        <v>2009</v>
      </c>
      <c r="B1" s="395" t="s">
        <v>327</v>
      </c>
      <c r="C1" s="395"/>
      <c r="D1" s="395" t="s">
        <v>2010</v>
      </c>
      <c r="E1" s="395" t="s">
        <v>2011</v>
      </c>
      <c r="F1" s="395" t="s">
        <v>2012</v>
      </c>
      <c r="G1" s="395" t="s">
        <v>2013</v>
      </c>
      <c r="H1" s="395" t="s">
        <v>2014</v>
      </c>
      <c r="I1" s="395" t="s">
        <v>2015</v>
      </c>
      <c r="J1" s="395" t="s">
        <v>2016</v>
      </c>
      <c r="K1" s="395" t="s">
        <v>2017</v>
      </c>
      <c r="L1" s="395" t="s">
        <v>2018</v>
      </c>
      <c r="M1" s="395" t="s">
        <v>2016</v>
      </c>
      <c r="N1" s="395" t="s">
        <v>2017</v>
      </c>
      <c r="O1" s="395" t="s">
        <v>2018</v>
      </c>
    </row>
    <row r="2" spans="1:15">
      <c r="A2" s="397" t="s">
        <v>321</v>
      </c>
      <c r="B2" s="397" t="s">
        <v>1101</v>
      </c>
      <c r="C2" s="397" t="str">
        <f>CONCATENATE(B2,A2)</f>
        <v>ACTElectricity</v>
      </c>
      <c r="D2" s="398">
        <v>0</v>
      </c>
      <c r="E2" s="398">
        <v>0.79</v>
      </c>
      <c r="F2" s="398">
        <v>7.0000000000000007E-2</v>
      </c>
      <c r="G2" s="397" t="s">
        <v>2019</v>
      </c>
      <c r="H2" s="397"/>
      <c r="I2" s="397"/>
      <c r="J2" s="397">
        <v>0.79</v>
      </c>
      <c r="K2" s="397">
        <v>0.86</v>
      </c>
      <c r="L2" s="397" t="s">
        <v>2019</v>
      </c>
      <c r="M2" s="399">
        <v>0.79</v>
      </c>
      <c r="N2" s="399">
        <v>0.86</v>
      </c>
      <c r="O2" s="400" t="s">
        <v>2019</v>
      </c>
    </row>
    <row r="3" spans="1:15">
      <c r="A3" s="397" t="s">
        <v>321</v>
      </c>
      <c r="B3" s="397" t="s">
        <v>1102</v>
      </c>
      <c r="C3" s="397" t="str">
        <f t="shared" ref="C3:C17" si="0">CONCATENATE(B3,A3)</f>
        <v>NSWElectricity</v>
      </c>
      <c r="D3" s="398">
        <v>0</v>
      </c>
      <c r="E3" s="398">
        <v>0.79</v>
      </c>
      <c r="F3" s="398">
        <v>7.0000000000000007E-2</v>
      </c>
      <c r="G3" s="397" t="s">
        <v>2019</v>
      </c>
      <c r="H3" s="397"/>
      <c r="I3" s="397"/>
      <c r="J3" s="397">
        <v>0.79</v>
      </c>
      <c r="K3" s="397">
        <v>0.86</v>
      </c>
      <c r="L3" s="397" t="s">
        <v>2019</v>
      </c>
      <c r="M3" s="399">
        <v>0.79</v>
      </c>
      <c r="N3" s="399">
        <v>0.86</v>
      </c>
      <c r="O3" s="400" t="s">
        <v>2019</v>
      </c>
    </row>
    <row r="4" spans="1:15">
      <c r="A4" s="397" t="s">
        <v>321</v>
      </c>
      <c r="B4" s="397" t="s">
        <v>1103</v>
      </c>
      <c r="C4" s="397" t="str">
        <f t="shared" si="0"/>
        <v>NTElectricity</v>
      </c>
      <c r="D4" s="398">
        <v>0</v>
      </c>
      <c r="E4" s="398">
        <v>0.56999999999999995</v>
      </c>
      <c r="F4" s="398">
        <v>0.04</v>
      </c>
      <c r="G4" s="397" t="s">
        <v>2019</v>
      </c>
      <c r="H4" s="397"/>
      <c r="I4" s="397"/>
      <c r="J4" s="397">
        <v>0.56999999999999995</v>
      </c>
      <c r="K4" s="397">
        <v>0.61</v>
      </c>
      <c r="L4" s="397" t="s">
        <v>2019</v>
      </c>
      <c r="M4" s="399">
        <v>0.56999999999999995</v>
      </c>
      <c r="N4" s="399">
        <v>0.61</v>
      </c>
      <c r="O4" s="400" t="s">
        <v>2019</v>
      </c>
    </row>
    <row r="5" spans="1:15">
      <c r="A5" s="397" t="s">
        <v>321</v>
      </c>
      <c r="B5" s="397" t="s">
        <v>1104</v>
      </c>
      <c r="C5" s="397" t="str">
        <f t="shared" si="0"/>
        <v>QLDElectricity</v>
      </c>
      <c r="D5" s="398">
        <v>0</v>
      </c>
      <c r="E5" s="398">
        <v>0.8</v>
      </c>
      <c r="F5" s="398">
        <v>0.12</v>
      </c>
      <c r="G5" s="397" t="s">
        <v>2019</v>
      </c>
      <c r="H5" s="397"/>
      <c r="I5" s="397"/>
      <c r="J5" s="397">
        <v>0.8</v>
      </c>
      <c r="K5" s="397">
        <v>0.92</v>
      </c>
      <c r="L5" s="397" t="s">
        <v>2019</v>
      </c>
      <c r="M5" s="399">
        <v>0.8</v>
      </c>
      <c r="N5" s="399">
        <v>0.92</v>
      </c>
      <c r="O5" s="400" t="s">
        <v>2019</v>
      </c>
    </row>
    <row r="6" spans="1:15">
      <c r="A6" s="397" t="s">
        <v>321</v>
      </c>
      <c r="B6" s="397" t="s">
        <v>1105</v>
      </c>
      <c r="C6" s="397" t="str">
        <f t="shared" si="0"/>
        <v>SAElectricity</v>
      </c>
      <c r="D6" s="398">
        <v>0</v>
      </c>
      <c r="E6" s="398">
        <v>0.35</v>
      </c>
      <c r="F6" s="398">
        <v>7.0000000000000007E-2</v>
      </c>
      <c r="G6" s="397" t="s">
        <v>2019</v>
      </c>
      <c r="H6" s="397"/>
      <c r="I6" s="397"/>
      <c r="J6" s="397">
        <v>0.35</v>
      </c>
      <c r="K6" s="397">
        <v>0.42</v>
      </c>
      <c r="L6" s="397" t="s">
        <v>2019</v>
      </c>
      <c r="M6" s="399">
        <v>0.35</v>
      </c>
      <c r="N6" s="399">
        <v>0.42</v>
      </c>
      <c r="O6" s="400" t="s">
        <v>2019</v>
      </c>
    </row>
    <row r="7" spans="1:15">
      <c r="A7" s="397" t="s">
        <v>321</v>
      </c>
      <c r="B7" s="397" t="s">
        <v>1106</v>
      </c>
      <c r="C7" s="397" t="str">
        <f t="shared" si="0"/>
        <v>TASElectricity</v>
      </c>
      <c r="D7" s="398">
        <v>0</v>
      </c>
      <c r="E7" s="398">
        <v>0.16</v>
      </c>
      <c r="F7" s="398">
        <v>0.02</v>
      </c>
      <c r="G7" s="397" t="s">
        <v>2019</v>
      </c>
      <c r="H7" s="397"/>
      <c r="I7" s="397"/>
      <c r="J7" s="397">
        <v>0.16</v>
      </c>
      <c r="K7" s="397">
        <v>0.18</v>
      </c>
      <c r="L7" s="397" t="s">
        <v>2019</v>
      </c>
      <c r="M7" s="399">
        <v>0.16</v>
      </c>
      <c r="N7" s="399">
        <v>0.18</v>
      </c>
      <c r="O7" s="400" t="s">
        <v>2019</v>
      </c>
    </row>
    <row r="8" spans="1:15">
      <c r="A8" s="397" t="s">
        <v>321</v>
      </c>
      <c r="B8" s="397" t="s">
        <v>1107</v>
      </c>
      <c r="C8" s="397" t="str">
        <f t="shared" si="0"/>
        <v>VICElectricity</v>
      </c>
      <c r="D8" s="398">
        <v>0</v>
      </c>
      <c r="E8" s="398">
        <v>0.96</v>
      </c>
      <c r="F8" s="398">
        <v>0.1</v>
      </c>
      <c r="G8" s="397" t="s">
        <v>2019</v>
      </c>
      <c r="H8" s="397"/>
      <c r="I8" s="397"/>
      <c r="J8" s="397">
        <v>0.96</v>
      </c>
      <c r="K8" s="397">
        <v>1.06</v>
      </c>
      <c r="L8" s="397" t="s">
        <v>2019</v>
      </c>
      <c r="M8" s="399">
        <v>0.96</v>
      </c>
      <c r="N8" s="399">
        <v>1.06</v>
      </c>
      <c r="O8" s="400" t="s">
        <v>2019</v>
      </c>
    </row>
    <row r="9" spans="1:15">
      <c r="A9" s="397" t="s">
        <v>321</v>
      </c>
      <c r="B9" s="397" t="s">
        <v>1108</v>
      </c>
      <c r="C9" s="397" t="str">
        <f t="shared" si="0"/>
        <v>WAElectricity</v>
      </c>
      <c r="D9" s="398">
        <v>0</v>
      </c>
      <c r="E9" s="398">
        <v>0.68</v>
      </c>
      <c r="F9" s="398">
        <v>0.01</v>
      </c>
      <c r="G9" s="397" t="s">
        <v>2019</v>
      </c>
      <c r="H9" s="397"/>
      <c r="I9" s="397"/>
      <c r="J9" s="397">
        <v>0.68</v>
      </c>
      <c r="K9" s="397">
        <v>0.69</v>
      </c>
      <c r="L9" s="397" t="s">
        <v>2019</v>
      </c>
      <c r="M9" s="399">
        <v>0.68</v>
      </c>
      <c r="N9" s="399">
        <v>0.69</v>
      </c>
      <c r="O9" s="400" t="s">
        <v>2019</v>
      </c>
    </row>
    <row r="10" spans="1:15">
      <c r="A10" s="397" t="s">
        <v>322</v>
      </c>
      <c r="B10" s="397" t="s">
        <v>1101</v>
      </c>
      <c r="C10" s="397" t="str">
        <f t="shared" si="0"/>
        <v>ACTGas</v>
      </c>
      <c r="D10" s="398">
        <v>51.53</v>
      </c>
      <c r="E10" s="398">
        <v>0</v>
      </c>
      <c r="F10" s="398">
        <v>13.1</v>
      </c>
      <c r="G10" s="397" t="s">
        <v>2020</v>
      </c>
      <c r="H10" s="397"/>
      <c r="I10" s="397"/>
      <c r="J10" s="397">
        <v>5.1529999999999999E-2</v>
      </c>
      <c r="K10" s="397">
        <v>6.4630000000000007E-2</v>
      </c>
      <c r="L10" s="397" t="s">
        <v>2021</v>
      </c>
      <c r="M10" s="399">
        <v>0.18550800000000001</v>
      </c>
      <c r="N10" s="399">
        <v>0.23266800000000004</v>
      </c>
      <c r="O10" s="400" t="s">
        <v>2019</v>
      </c>
    </row>
    <row r="11" spans="1:15">
      <c r="A11" s="397" t="s">
        <v>322</v>
      </c>
      <c r="B11" s="397" t="s">
        <v>1102</v>
      </c>
      <c r="C11" s="397" t="str">
        <f t="shared" si="0"/>
        <v>NSWGas</v>
      </c>
      <c r="D11" s="398">
        <v>51.53</v>
      </c>
      <c r="E11" s="398">
        <v>0</v>
      </c>
      <c r="F11" s="398">
        <v>13.1</v>
      </c>
      <c r="G11" s="397" t="s">
        <v>2020</v>
      </c>
      <c r="H11" s="397"/>
      <c r="I11" s="397"/>
      <c r="J11" s="397">
        <v>5.1529999999999999E-2</v>
      </c>
      <c r="K11" s="397">
        <v>6.4630000000000007E-2</v>
      </c>
      <c r="L11" s="397" t="s">
        <v>2021</v>
      </c>
      <c r="M11" s="399">
        <v>0.18550800000000001</v>
      </c>
      <c r="N11" s="399">
        <v>0.23266800000000004</v>
      </c>
      <c r="O11" s="400" t="s">
        <v>2019</v>
      </c>
    </row>
    <row r="12" spans="1:15">
      <c r="A12" s="397" t="s">
        <v>322</v>
      </c>
      <c r="B12" s="397" t="s">
        <v>1103</v>
      </c>
      <c r="C12" s="397" t="str">
        <f t="shared" si="0"/>
        <v>NTGas</v>
      </c>
      <c r="D12" s="398">
        <v>51.53</v>
      </c>
      <c r="E12" s="398">
        <v>0</v>
      </c>
      <c r="F12" s="398">
        <v>0</v>
      </c>
      <c r="G12" s="397" t="s">
        <v>2020</v>
      </c>
      <c r="H12" s="397"/>
      <c r="I12" s="397"/>
      <c r="J12" s="397">
        <v>5.1529999999999999E-2</v>
      </c>
      <c r="K12" s="397">
        <v>5.1529999999999999E-2</v>
      </c>
      <c r="L12" s="397" t="s">
        <v>2021</v>
      </c>
      <c r="M12" s="399">
        <v>0.18550800000000001</v>
      </c>
      <c r="N12" s="399">
        <v>0.18550800000000001</v>
      </c>
      <c r="O12" s="400" t="s">
        <v>2019</v>
      </c>
    </row>
    <row r="13" spans="1:15">
      <c r="A13" s="397" t="s">
        <v>322</v>
      </c>
      <c r="B13" s="397" t="s">
        <v>1104</v>
      </c>
      <c r="C13" s="397" t="str">
        <f t="shared" si="0"/>
        <v>QLDGas</v>
      </c>
      <c r="D13" s="398">
        <v>51.53</v>
      </c>
      <c r="E13" s="398">
        <v>0</v>
      </c>
      <c r="F13" s="398">
        <v>8.8000000000000007</v>
      </c>
      <c r="G13" s="397" t="s">
        <v>2020</v>
      </c>
      <c r="H13" s="397"/>
      <c r="I13" s="397"/>
      <c r="J13" s="397">
        <v>5.1529999999999999E-2</v>
      </c>
      <c r="K13" s="397">
        <v>6.0330000000000002E-2</v>
      </c>
      <c r="L13" s="397" t="s">
        <v>2021</v>
      </c>
      <c r="M13" s="399">
        <v>0.18550800000000001</v>
      </c>
      <c r="N13" s="399">
        <v>0.21718800000000002</v>
      </c>
      <c r="O13" s="400" t="s">
        <v>2019</v>
      </c>
    </row>
    <row r="14" spans="1:15">
      <c r="A14" s="397" t="s">
        <v>322</v>
      </c>
      <c r="B14" s="397" t="s">
        <v>1105</v>
      </c>
      <c r="C14" s="397" t="str">
        <f t="shared" si="0"/>
        <v>SAGas</v>
      </c>
      <c r="D14" s="398">
        <v>51.53</v>
      </c>
      <c r="E14" s="398">
        <v>0</v>
      </c>
      <c r="F14" s="398">
        <v>10.7</v>
      </c>
      <c r="G14" s="397" t="s">
        <v>2020</v>
      </c>
      <c r="H14" s="397"/>
      <c r="I14" s="397"/>
      <c r="J14" s="397">
        <v>5.1529999999999999E-2</v>
      </c>
      <c r="K14" s="397">
        <v>6.2230000000000001E-2</v>
      </c>
      <c r="L14" s="397" t="s">
        <v>2021</v>
      </c>
      <c r="M14" s="399">
        <v>0.18550800000000001</v>
      </c>
      <c r="N14" s="399">
        <v>0.224028</v>
      </c>
      <c r="O14" s="400" t="s">
        <v>2019</v>
      </c>
    </row>
    <row r="15" spans="1:15">
      <c r="A15" s="397" t="s">
        <v>322</v>
      </c>
      <c r="B15" s="397" t="s">
        <v>1106</v>
      </c>
      <c r="C15" s="397" t="str">
        <f t="shared" si="0"/>
        <v>TASGas</v>
      </c>
      <c r="D15" s="398">
        <v>51.53</v>
      </c>
      <c r="E15" s="398">
        <v>0</v>
      </c>
      <c r="F15" s="398">
        <v>0</v>
      </c>
      <c r="G15" s="397" t="s">
        <v>2020</v>
      </c>
      <c r="H15" s="397"/>
      <c r="I15" s="397"/>
      <c r="J15" s="397">
        <v>5.1529999999999999E-2</v>
      </c>
      <c r="K15" s="397">
        <v>5.1529999999999999E-2</v>
      </c>
      <c r="L15" s="397" t="s">
        <v>2021</v>
      </c>
      <c r="M15" s="399">
        <v>0.18550800000000001</v>
      </c>
      <c r="N15" s="399">
        <v>0.18550800000000001</v>
      </c>
      <c r="O15" s="400" t="s">
        <v>2019</v>
      </c>
    </row>
    <row r="16" spans="1:15">
      <c r="A16" s="397" t="s">
        <v>322</v>
      </c>
      <c r="B16" s="397" t="s">
        <v>1107</v>
      </c>
      <c r="C16" s="397" t="str">
        <f t="shared" si="0"/>
        <v>VICGas</v>
      </c>
      <c r="D16" s="398">
        <v>51.53</v>
      </c>
      <c r="E16" s="398">
        <v>0</v>
      </c>
      <c r="F16" s="398">
        <v>4</v>
      </c>
      <c r="G16" s="397" t="s">
        <v>2020</v>
      </c>
      <c r="H16" s="397"/>
      <c r="I16" s="397"/>
      <c r="J16" s="397">
        <v>5.1529999999999999E-2</v>
      </c>
      <c r="K16" s="397">
        <v>5.5530000000000003E-2</v>
      </c>
      <c r="L16" s="397" t="s">
        <v>2021</v>
      </c>
      <c r="M16" s="399">
        <v>0.18550800000000001</v>
      </c>
      <c r="N16" s="399">
        <v>0.199908</v>
      </c>
      <c r="O16" s="400" t="s">
        <v>2019</v>
      </c>
    </row>
    <row r="17" spans="1:15">
      <c r="A17" s="397" t="s">
        <v>322</v>
      </c>
      <c r="B17" s="397" t="s">
        <v>1108</v>
      </c>
      <c r="C17" s="397" t="str">
        <f t="shared" si="0"/>
        <v>WAGas</v>
      </c>
      <c r="D17" s="398">
        <v>51.53</v>
      </c>
      <c r="E17" s="398">
        <v>0</v>
      </c>
      <c r="F17" s="398">
        <v>4.0999999999999996</v>
      </c>
      <c r="G17" s="397" t="s">
        <v>2020</v>
      </c>
      <c r="H17" s="397"/>
      <c r="I17" s="397"/>
      <c r="J17" s="397">
        <v>5.1529999999999999E-2</v>
      </c>
      <c r="K17" s="397">
        <v>5.5629999999999999E-2</v>
      </c>
      <c r="L17" s="397" t="s">
        <v>2021</v>
      </c>
      <c r="M17" s="399">
        <v>0.18550800000000001</v>
      </c>
      <c r="N17" s="399">
        <v>0.200268</v>
      </c>
      <c r="O17" s="400" t="s">
        <v>2019</v>
      </c>
    </row>
    <row r="18" spans="1:15">
      <c r="A18" s="397" t="s">
        <v>1117</v>
      </c>
      <c r="B18" s="397" t="s">
        <v>2022</v>
      </c>
      <c r="C18" s="397" t="s">
        <v>1117</v>
      </c>
      <c r="D18" s="398">
        <v>90.24</v>
      </c>
      <c r="E18" s="398">
        <v>0</v>
      </c>
      <c r="F18" s="398">
        <v>3</v>
      </c>
      <c r="G18" s="397" t="s">
        <v>2020</v>
      </c>
      <c r="H18" s="397">
        <v>27</v>
      </c>
      <c r="I18" s="397" t="s">
        <v>2023</v>
      </c>
      <c r="J18" s="397">
        <v>2.43648</v>
      </c>
      <c r="K18" s="397">
        <v>2.5174799999999999</v>
      </c>
      <c r="L18" s="397" t="s">
        <v>2024</v>
      </c>
      <c r="M18" s="399">
        <v>0.32486399999999999</v>
      </c>
      <c r="N18" s="399">
        <v>0.33566399999999996</v>
      </c>
      <c r="O18" s="400" t="s">
        <v>2019</v>
      </c>
    </row>
    <row r="19" spans="1:15">
      <c r="A19" s="397" t="s">
        <v>2025</v>
      </c>
      <c r="B19" s="397" t="s">
        <v>2022</v>
      </c>
      <c r="C19" s="397" t="s">
        <v>2025</v>
      </c>
      <c r="D19" s="398">
        <v>70.2</v>
      </c>
      <c r="E19" s="398">
        <v>0</v>
      </c>
      <c r="F19" s="398">
        <v>3.6</v>
      </c>
      <c r="G19" s="397" t="s">
        <v>2020</v>
      </c>
      <c r="H19" s="397">
        <v>38.6</v>
      </c>
      <c r="I19" s="397" t="s">
        <v>2026</v>
      </c>
      <c r="J19" s="397">
        <v>2.7097199999999999</v>
      </c>
      <c r="K19" s="397">
        <v>2.8486799999999999</v>
      </c>
      <c r="L19" s="397" t="s">
        <v>2027</v>
      </c>
      <c r="M19" s="399">
        <v>0.25272</v>
      </c>
      <c r="N19" s="399">
        <v>0.26567999999999997</v>
      </c>
      <c r="O19" s="400" t="s">
        <v>2019</v>
      </c>
    </row>
    <row r="20" spans="1:15">
      <c r="A20" s="397" t="s">
        <v>851</v>
      </c>
      <c r="B20" s="397" t="s">
        <v>2022</v>
      </c>
      <c r="C20" s="397" t="s">
        <v>851</v>
      </c>
      <c r="D20" s="398">
        <v>60.6</v>
      </c>
      <c r="E20" s="398">
        <v>0</v>
      </c>
      <c r="F20" s="398">
        <v>3.6</v>
      </c>
      <c r="G20" s="397" t="s">
        <v>2020</v>
      </c>
      <c r="H20" s="397">
        <v>25.7</v>
      </c>
      <c r="I20" s="397" t="s">
        <v>2026</v>
      </c>
      <c r="J20" s="397">
        <v>1.55742</v>
      </c>
      <c r="K20" s="397">
        <v>1.64994</v>
      </c>
      <c r="L20" s="397" t="s">
        <v>2027</v>
      </c>
      <c r="M20" s="399">
        <v>0.21815999999999999</v>
      </c>
      <c r="N20" s="399">
        <v>0.23111999999999999</v>
      </c>
      <c r="O20" s="400" t="s">
        <v>2019</v>
      </c>
    </row>
    <row r="26" spans="1:15">
      <c r="B26" s="401" t="s">
        <v>327</v>
      </c>
      <c r="C26" s="402" t="s">
        <v>2028</v>
      </c>
      <c r="D26" s="402" t="s">
        <v>2029</v>
      </c>
      <c r="E26" s="402" t="s">
        <v>2030</v>
      </c>
      <c r="F26" s="402" t="s">
        <v>2031</v>
      </c>
      <c r="G26" s="402" t="s">
        <v>2032</v>
      </c>
      <c r="H26" s="402" t="s">
        <v>2033</v>
      </c>
      <c r="I26" s="402" t="s">
        <v>2034</v>
      </c>
      <c r="J26" s="402" t="s">
        <v>2035</v>
      </c>
      <c r="K26" s="402" t="s">
        <v>2036</v>
      </c>
      <c r="L26" s="402" t="s">
        <v>2037</v>
      </c>
    </row>
    <row r="27" spans="1:15">
      <c r="B27" s="662" t="s">
        <v>1101</v>
      </c>
      <c r="C27" s="396">
        <f>K2</f>
        <v>0.86</v>
      </c>
      <c r="D27" s="396">
        <f>K10</f>
        <v>6.4630000000000007E-2</v>
      </c>
      <c r="E27" s="396">
        <f>$K$19</f>
        <v>2.8486799999999999</v>
      </c>
      <c r="F27" s="396">
        <f>$K$18</f>
        <v>2.5174799999999999</v>
      </c>
      <c r="G27" s="396">
        <f>$K$20</f>
        <v>1.64994</v>
      </c>
      <c r="H27" s="396">
        <f>J2</f>
        <v>0.79</v>
      </c>
      <c r="I27" s="396">
        <f>J10</f>
        <v>5.1529999999999999E-2</v>
      </c>
      <c r="J27" s="396">
        <f>$J$19</f>
        <v>2.7097199999999999</v>
      </c>
      <c r="K27" s="396">
        <f>$J$18</f>
        <v>2.43648</v>
      </c>
      <c r="L27" s="396">
        <f>$J$20</f>
        <v>1.55742</v>
      </c>
    </row>
    <row r="28" spans="1:15">
      <c r="B28" s="662" t="s">
        <v>1102</v>
      </c>
      <c r="C28" s="396">
        <f t="shared" ref="C28:C34" si="1">K3</f>
        <v>0.86</v>
      </c>
      <c r="D28" s="396">
        <f t="shared" ref="D28:D34" si="2">K11</f>
        <v>6.4630000000000007E-2</v>
      </c>
      <c r="E28" s="396">
        <f t="shared" ref="E28:E34" si="3">$K$19</f>
        <v>2.8486799999999999</v>
      </c>
      <c r="F28" s="396">
        <f t="shared" ref="F28:F34" si="4">$K$18</f>
        <v>2.5174799999999999</v>
      </c>
      <c r="G28" s="396">
        <f t="shared" ref="G28:G34" si="5">$K$20</f>
        <v>1.64994</v>
      </c>
      <c r="H28" s="396">
        <f t="shared" ref="H28:H34" si="6">J3</f>
        <v>0.79</v>
      </c>
      <c r="I28" s="396">
        <f t="shared" ref="I28:I34" si="7">J11</f>
        <v>5.1529999999999999E-2</v>
      </c>
      <c r="J28" s="396">
        <f t="shared" ref="J28:J34" si="8">$J$19</f>
        <v>2.7097199999999999</v>
      </c>
      <c r="K28" s="396">
        <f t="shared" ref="K28:K34" si="9">$J$18</f>
        <v>2.43648</v>
      </c>
      <c r="L28" s="396">
        <f t="shared" ref="L28:L34" si="10">$J$20</f>
        <v>1.55742</v>
      </c>
    </row>
    <row r="29" spans="1:15">
      <c r="B29" s="662" t="s">
        <v>1103</v>
      </c>
      <c r="C29" s="396">
        <f t="shared" si="1"/>
        <v>0.61</v>
      </c>
      <c r="D29" s="396">
        <f t="shared" si="2"/>
        <v>5.1529999999999999E-2</v>
      </c>
      <c r="E29" s="396">
        <f t="shared" si="3"/>
        <v>2.8486799999999999</v>
      </c>
      <c r="F29" s="396">
        <f t="shared" si="4"/>
        <v>2.5174799999999999</v>
      </c>
      <c r="G29" s="396">
        <f t="shared" si="5"/>
        <v>1.64994</v>
      </c>
      <c r="H29" s="396">
        <f t="shared" si="6"/>
        <v>0.56999999999999995</v>
      </c>
      <c r="I29" s="396">
        <f t="shared" si="7"/>
        <v>5.1529999999999999E-2</v>
      </c>
      <c r="J29" s="396">
        <f t="shared" si="8"/>
        <v>2.7097199999999999</v>
      </c>
      <c r="K29" s="396">
        <f t="shared" si="9"/>
        <v>2.43648</v>
      </c>
      <c r="L29" s="396">
        <f t="shared" si="10"/>
        <v>1.55742</v>
      </c>
    </row>
    <row r="30" spans="1:15">
      <c r="B30" s="662" t="s">
        <v>1104</v>
      </c>
      <c r="C30" s="396">
        <f t="shared" si="1"/>
        <v>0.92</v>
      </c>
      <c r="D30" s="396">
        <f t="shared" si="2"/>
        <v>6.0330000000000002E-2</v>
      </c>
      <c r="E30" s="396">
        <f t="shared" si="3"/>
        <v>2.8486799999999999</v>
      </c>
      <c r="F30" s="396">
        <f t="shared" si="4"/>
        <v>2.5174799999999999</v>
      </c>
      <c r="G30" s="396">
        <f t="shared" si="5"/>
        <v>1.64994</v>
      </c>
      <c r="H30" s="396">
        <f t="shared" si="6"/>
        <v>0.8</v>
      </c>
      <c r="I30" s="396">
        <f t="shared" si="7"/>
        <v>5.1529999999999999E-2</v>
      </c>
      <c r="J30" s="396">
        <f t="shared" si="8"/>
        <v>2.7097199999999999</v>
      </c>
      <c r="K30" s="396">
        <f t="shared" si="9"/>
        <v>2.43648</v>
      </c>
      <c r="L30" s="396">
        <f t="shared" si="10"/>
        <v>1.55742</v>
      </c>
    </row>
    <row r="31" spans="1:15">
      <c r="B31" s="662" t="s">
        <v>1105</v>
      </c>
      <c r="C31" s="396">
        <f t="shared" si="1"/>
        <v>0.42</v>
      </c>
      <c r="D31" s="396">
        <f t="shared" si="2"/>
        <v>6.2230000000000001E-2</v>
      </c>
      <c r="E31" s="396">
        <f t="shared" si="3"/>
        <v>2.8486799999999999</v>
      </c>
      <c r="F31" s="396">
        <f t="shared" si="4"/>
        <v>2.5174799999999999</v>
      </c>
      <c r="G31" s="396">
        <f t="shared" si="5"/>
        <v>1.64994</v>
      </c>
      <c r="H31" s="396">
        <f t="shared" si="6"/>
        <v>0.35</v>
      </c>
      <c r="I31" s="396">
        <f t="shared" si="7"/>
        <v>5.1529999999999999E-2</v>
      </c>
      <c r="J31" s="396">
        <f t="shared" si="8"/>
        <v>2.7097199999999999</v>
      </c>
      <c r="K31" s="396">
        <f t="shared" si="9"/>
        <v>2.43648</v>
      </c>
      <c r="L31" s="396">
        <f t="shared" si="10"/>
        <v>1.55742</v>
      </c>
    </row>
    <row r="32" spans="1:15">
      <c r="B32" s="662" t="s">
        <v>1106</v>
      </c>
      <c r="C32" s="396">
        <f t="shared" si="1"/>
        <v>0.18</v>
      </c>
      <c r="D32" s="396">
        <f t="shared" si="2"/>
        <v>5.1529999999999999E-2</v>
      </c>
      <c r="E32" s="396">
        <f t="shared" si="3"/>
        <v>2.8486799999999999</v>
      </c>
      <c r="F32" s="396">
        <f t="shared" si="4"/>
        <v>2.5174799999999999</v>
      </c>
      <c r="G32" s="396">
        <f t="shared" si="5"/>
        <v>1.64994</v>
      </c>
      <c r="H32" s="396">
        <f t="shared" si="6"/>
        <v>0.16</v>
      </c>
      <c r="I32" s="396">
        <f t="shared" si="7"/>
        <v>5.1529999999999999E-2</v>
      </c>
      <c r="J32" s="396">
        <f t="shared" si="8"/>
        <v>2.7097199999999999</v>
      </c>
      <c r="K32" s="396">
        <f t="shared" si="9"/>
        <v>2.43648</v>
      </c>
      <c r="L32" s="396">
        <f t="shared" si="10"/>
        <v>1.55742</v>
      </c>
    </row>
    <row r="33" spans="2:12">
      <c r="B33" s="662" t="s">
        <v>1107</v>
      </c>
      <c r="C33" s="396">
        <f t="shared" si="1"/>
        <v>1.06</v>
      </c>
      <c r="D33" s="396">
        <f t="shared" si="2"/>
        <v>5.5530000000000003E-2</v>
      </c>
      <c r="E33" s="396">
        <f t="shared" si="3"/>
        <v>2.8486799999999999</v>
      </c>
      <c r="F33" s="396">
        <f t="shared" si="4"/>
        <v>2.5174799999999999</v>
      </c>
      <c r="G33" s="396">
        <f t="shared" si="5"/>
        <v>1.64994</v>
      </c>
      <c r="H33" s="396">
        <f t="shared" si="6"/>
        <v>0.96</v>
      </c>
      <c r="I33" s="396">
        <f t="shared" si="7"/>
        <v>5.1529999999999999E-2</v>
      </c>
      <c r="J33" s="396">
        <f t="shared" si="8"/>
        <v>2.7097199999999999</v>
      </c>
      <c r="K33" s="396">
        <f t="shared" si="9"/>
        <v>2.43648</v>
      </c>
      <c r="L33" s="396">
        <f t="shared" si="10"/>
        <v>1.55742</v>
      </c>
    </row>
    <row r="34" spans="2:12">
      <c r="B34" s="662" t="s">
        <v>1108</v>
      </c>
      <c r="C34" s="396">
        <f t="shared" si="1"/>
        <v>0.69</v>
      </c>
      <c r="D34" s="396">
        <f t="shared" si="2"/>
        <v>5.5629999999999999E-2</v>
      </c>
      <c r="E34" s="396">
        <f t="shared" si="3"/>
        <v>2.8486799999999999</v>
      </c>
      <c r="F34" s="396">
        <f t="shared" si="4"/>
        <v>2.5174799999999999</v>
      </c>
      <c r="G34" s="396">
        <f t="shared" si="5"/>
        <v>1.64994</v>
      </c>
      <c r="H34" s="396">
        <f t="shared" si="6"/>
        <v>0.68</v>
      </c>
      <c r="I34" s="396">
        <f t="shared" si="7"/>
        <v>5.1529999999999999E-2</v>
      </c>
      <c r="J34" s="396">
        <f t="shared" si="8"/>
        <v>2.7097199999999999</v>
      </c>
      <c r="K34" s="396">
        <f t="shared" si="9"/>
        <v>2.43648</v>
      </c>
      <c r="L34" s="396">
        <f t="shared" si="10"/>
        <v>1.55742</v>
      </c>
    </row>
  </sheetData>
  <phoneticPr fontId="15" type="noConversion"/>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C758E-854F-4CF0-BB04-4E36F6D2BB00}">
  <sheetPr codeName="Sheet16">
    <tabColor theme="5"/>
  </sheetPr>
  <dimension ref="A1:O34"/>
  <sheetViews>
    <sheetView topLeftCell="A7" workbookViewId="0">
      <selection activeCell="H40" sqref="H40"/>
    </sheetView>
  </sheetViews>
  <sheetFormatPr defaultRowHeight="13.9"/>
  <cols>
    <col min="1" max="2" width="16.7109375" style="396" customWidth="1"/>
    <col min="3" max="3" width="18" style="396" customWidth="1"/>
    <col min="4" max="4" width="17.5703125" style="396" customWidth="1"/>
    <col min="5" max="5" width="18" style="396" customWidth="1"/>
    <col min="6" max="6" width="17.85546875" style="396" customWidth="1"/>
    <col min="7" max="15" width="16.7109375" style="396" customWidth="1"/>
    <col min="16" max="256" width="8.85546875" style="396"/>
    <col min="257" max="271" width="16.7109375" style="396" customWidth="1"/>
    <col min="272" max="512" width="8.85546875" style="396"/>
    <col min="513" max="527" width="16.7109375" style="396" customWidth="1"/>
    <col min="528" max="768" width="8.85546875" style="396"/>
    <col min="769" max="783" width="16.7109375" style="396" customWidth="1"/>
    <col min="784" max="1024" width="8.85546875" style="396"/>
    <col min="1025" max="1039" width="16.7109375" style="396" customWidth="1"/>
    <col min="1040" max="1280" width="8.85546875" style="396"/>
    <col min="1281" max="1295" width="16.7109375" style="396" customWidth="1"/>
    <col min="1296" max="1536" width="8.85546875" style="396"/>
    <col min="1537" max="1551" width="16.7109375" style="396" customWidth="1"/>
    <col min="1552" max="1792" width="8.85546875" style="396"/>
    <col min="1793" max="1807" width="16.7109375" style="396" customWidth="1"/>
    <col min="1808" max="2048" width="8.85546875" style="396"/>
    <col min="2049" max="2063" width="16.7109375" style="396" customWidth="1"/>
    <col min="2064" max="2304" width="8.85546875" style="396"/>
    <col min="2305" max="2319" width="16.7109375" style="396" customWidth="1"/>
    <col min="2320" max="2560" width="8.85546875" style="396"/>
    <col min="2561" max="2575" width="16.7109375" style="396" customWidth="1"/>
    <col min="2576" max="2816" width="8.85546875" style="396"/>
    <col min="2817" max="2831" width="16.7109375" style="396" customWidth="1"/>
    <col min="2832" max="3072" width="8.85546875" style="396"/>
    <col min="3073" max="3087" width="16.7109375" style="396" customWidth="1"/>
    <col min="3088" max="3328" width="8.85546875" style="396"/>
    <col min="3329" max="3343" width="16.7109375" style="396" customWidth="1"/>
    <col min="3344" max="3584" width="8.85546875" style="396"/>
    <col min="3585" max="3599" width="16.7109375" style="396" customWidth="1"/>
    <col min="3600" max="3840" width="8.85546875" style="396"/>
    <col min="3841" max="3855" width="16.7109375" style="396" customWidth="1"/>
    <col min="3856" max="4096" width="8.85546875" style="396"/>
    <col min="4097" max="4111" width="16.7109375" style="396" customWidth="1"/>
    <col min="4112" max="4352" width="8.85546875" style="396"/>
    <col min="4353" max="4367" width="16.7109375" style="396" customWidth="1"/>
    <col min="4368" max="4608" width="8.85546875" style="396"/>
    <col min="4609" max="4623" width="16.7109375" style="396" customWidth="1"/>
    <col min="4624" max="4864" width="8.85546875" style="396"/>
    <col min="4865" max="4879" width="16.7109375" style="396" customWidth="1"/>
    <col min="4880" max="5120" width="8.85546875" style="396"/>
    <col min="5121" max="5135" width="16.7109375" style="396" customWidth="1"/>
    <col min="5136" max="5376" width="8.85546875" style="396"/>
    <col min="5377" max="5391" width="16.7109375" style="396" customWidth="1"/>
    <col min="5392" max="5632" width="8.85546875" style="396"/>
    <col min="5633" max="5647" width="16.7109375" style="396" customWidth="1"/>
    <col min="5648" max="5888" width="8.85546875" style="396"/>
    <col min="5889" max="5903" width="16.7109375" style="396" customWidth="1"/>
    <col min="5904" max="6144" width="8.85546875" style="396"/>
    <col min="6145" max="6159" width="16.7109375" style="396" customWidth="1"/>
    <col min="6160" max="6400" width="8.85546875" style="396"/>
    <col min="6401" max="6415" width="16.7109375" style="396" customWidth="1"/>
    <col min="6416" max="6656" width="8.85546875" style="396"/>
    <col min="6657" max="6671" width="16.7109375" style="396" customWidth="1"/>
    <col min="6672" max="6912" width="8.85546875" style="396"/>
    <col min="6913" max="6927" width="16.7109375" style="396" customWidth="1"/>
    <col min="6928" max="7168" width="8.85546875" style="396"/>
    <col min="7169" max="7183" width="16.7109375" style="396" customWidth="1"/>
    <col min="7184" max="7424" width="8.85546875" style="396"/>
    <col min="7425" max="7439" width="16.7109375" style="396" customWidth="1"/>
    <col min="7440" max="7680" width="8.85546875" style="396"/>
    <col min="7681" max="7695" width="16.7109375" style="396" customWidth="1"/>
    <col min="7696" max="7936" width="8.85546875" style="396"/>
    <col min="7937" max="7951" width="16.7109375" style="396" customWidth="1"/>
    <col min="7952" max="8192" width="8.85546875" style="396"/>
    <col min="8193" max="8207" width="16.7109375" style="396" customWidth="1"/>
    <col min="8208" max="8448" width="8.85546875" style="396"/>
    <col min="8449" max="8463" width="16.7109375" style="396" customWidth="1"/>
    <col min="8464" max="8704" width="8.85546875" style="396"/>
    <col min="8705" max="8719" width="16.7109375" style="396" customWidth="1"/>
    <col min="8720" max="8960" width="8.85546875" style="396"/>
    <col min="8961" max="8975" width="16.7109375" style="396" customWidth="1"/>
    <col min="8976" max="9216" width="8.85546875" style="396"/>
    <col min="9217" max="9231" width="16.7109375" style="396" customWidth="1"/>
    <col min="9232" max="9472" width="8.85546875" style="396"/>
    <col min="9473" max="9487" width="16.7109375" style="396" customWidth="1"/>
    <col min="9488" max="9728" width="8.85546875" style="396"/>
    <col min="9729" max="9743" width="16.7109375" style="396" customWidth="1"/>
    <col min="9744" max="9984" width="8.85546875" style="396"/>
    <col min="9985" max="9999" width="16.7109375" style="396" customWidth="1"/>
    <col min="10000" max="10240" width="8.85546875" style="396"/>
    <col min="10241" max="10255" width="16.7109375" style="396" customWidth="1"/>
    <col min="10256" max="10496" width="8.85546875" style="396"/>
    <col min="10497" max="10511" width="16.7109375" style="396" customWidth="1"/>
    <col min="10512" max="10752" width="8.85546875" style="396"/>
    <col min="10753" max="10767" width="16.7109375" style="396" customWidth="1"/>
    <col min="10768" max="11008" width="8.85546875" style="396"/>
    <col min="11009" max="11023" width="16.7109375" style="396" customWidth="1"/>
    <col min="11024" max="11264" width="8.85546875" style="396"/>
    <col min="11265" max="11279" width="16.7109375" style="396" customWidth="1"/>
    <col min="11280" max="11520" width="8.85546875" style="396"/>
    <col min="11521" max="11535" width="16.7109375" style="396" customWidth="1"/>
    <col min="11536" max="11776" width="8.85546875" style="396"/>
    <col min="11777" max="11791" width="16.7109375" style="396" customWidth="1"/>
    <col min="11792" max="12032" width="8.85546875" style="396"/>
    <col min="12033" max="12047" width="16.7109375" style="396" customWidth="1"/>
    <col min="12048" max="12288" width="8.85546875" style="396"/>
    <col min="12289" max="12303" width="16.7109375" style="396" customWidth="1"/>
    <col min="12304" max="12544" width="8.85546875" style="396"/>
    <col min="12545" max="12559" width="16.7109375" style="396" customWidth="1"/>
    <col min="12560" max="12800" width="8.85546875" style="396"/>
    <col min="12801" max="12815" width="16.7109375" style="396" customWidth="1"/>
    <col min="12816" max="13056" width="8.85546875" style="396"/>
    <col min="13057" max="13071" width="16.7109375" style="396" customWidth="1"/>
    <col min="13072" max="13312" width="8.85546875" style="396"/>
    <col min="13313" max="13327" width="16.7109375" style="396" customWidth="1"/>
    <col min="13328" max="13568" width="8.85546875" style="396"/>
    <col min="13569" max="13583" width="16.7109375" style="396" customWidth="1"/>
    <col min="13584" max="13824" width="8.85546875" style="396"/>
    <col min="13825" max="13839" width="16.7109375" style="396" customWidth="1"/>
    <col min="13840" max="14080" width="8.85546875" style="396"/>
    <col min="14081" max="14095" width="16.7109375" style="396" customWidth="1"/>
    <col min="14096" max="14336" width="8.85546875" style="396"/>
    <col min="14337" max="14351" width="16.7109375" style="396" customWidth="1"/>
    <col min="14352" max="14592" width="8.85546875" style="396"/>
    <col min="14593" max="14607" width="16.7109375" style="396" customWidth="1"/>
    <col min="14608" max="14848" width="8.85546875" style="396"/>
    <col min="14849" max="14863" width="16.7109375" style="396" customWidth="1"/>
    <col min="14864" max="15104" width="8.85546875" style="396"/>
    <col min="15105" max="15119" width="16.7109375" style="396" customWidth="1"/>
    <col min="15120" max="15360" width="8.85546875" style="396"/>
    <col min="15361" max="15375" width="16.7109375" style="396" customWidth="1"/>
    <col min="15376" max="15616" width="8.85546875" style="396"/>
    <col min="15617" max="15631" width="16.7109375" style="396" customWidth="1"/>
    <col min="15632" max="15872" width="8.85546875" style="396"/>
    <col min="15873" max="15887" width="16.7109375" style="396" customWidth="1"/>
    <col min="15888" max="16128" width="8.85546875" style="396"/>
    <col min="16129" max="16143" width="16.7109375" style="396" customWidth="1"/>
    <col min="16144" max="16384" width="8.85546875" style="396"/>
  </cols>
  <sheetData>
    <row r="1" spans="1:15" ht="41.45">
      <c r="A1" s="395" t="s">
        <v>2009</v>
      </c>
      <c r="B1" s="395" t="s">
        <v>327</v>
      </c>
      <c r="C1" s="395"/>
      <c r="D1" s="395" t="s">
        <v>2010</v>
      </c>
      <c r="E1" s="395" t="s">
        <v>2011</v>
      </c>
      <c r="F1" s="395" t="s">
        <v>2012</v>
      </c>
      <c r="G1" s="395" t="s">
        <v>2013</v>
      </c>
      <c r="H1" s="395" t="s">
        <v>2014</v>
      </c>
      <c r="I1" s="395" t="s">
        <v>2015</v>
      </c>
      <c r="J1" s="395" t="s">
        <v>2016</v>
      </c>
      <c r="K1" s="395" t="s">
        <v>2017</v>
      </c>
      <c r="L1" s="395" t="s">
        <v>2018</v>
      </c>
      <c r="M1" s="395" t="s">
        <v>2016</v>
      </c>
      <c r="N1" s="395" t="s">
        <v>2017</v>
      </c>
      <c r="O1" s="395" t="s">
        <v>2018</v>
      </c>
    </row>
    <row r="2" spans="1:15">
      <c r="A2" s="397" t="s">
        <v>321</v>
      </c>
      <c r="B2" s="397" t="s">
        <v>1101</v>
      </c>
      <c r="C2" s="397" t="str">
        <f>CONCATENATE(B2,A2)</f>
        <v>ACTElectricity</v>
      </c>
      <c r="D2" s="398">
        <v>0</v>
      </c>
      <c r="E2" s="397">
        <v>0.73</v>
      </c>
      <c r="F2" s="398">
        <v>0.06</v>
      </c>
      <c r="G2" s="397" t="s">
        <v>2019</v>
      </c>
      <c r="H2" s="397"/>
      <c r="I2" s="397"/>
      <c r="J2" s="398">
        <f>SUM(D2:E2)</f>
        <v>0.73</v>
      </c>
      <c r="K2" s="398">
        <f>SUM(D2:F2)</f>
        <v>0.79</v>
      </c>
      <c r="L2" s="397" t="s">
        <v>2019</v>
      </c>
      <c r="M2" s="399">
        <v>0.73</v>
      </c>
      <c r="N2" s="399">
        <v>0.79</v>
      </c>
      <c r="O2" s="400" t="s">
        <v>2019</v>
      </c>
    </row>
    <row r="3" spans="1:15">
      <c r="A3" s="397" t="s">
        <v>321</v>
      </c>
      <c r="B3" s="397" t="s">
        <v>1102</v>
      </c>
      <c r="C3" s="397" t="str">
        <f t="shared" ref="C3:C17" si="0">CONCATENATE(B3,A3)</f>
        <v>NSWElectricity</v>
      </c>
      <c r="D3" s="398">
        <v>0</v>
      </c>
      <c r="E3" s="397">
        <v>0.73</v>
      </c>
      <c r="F3" s="398">
        <v>0.06</v>
      </c>
      <c r="G3" s="397" t="s">
        <v>2019</v>
      </c>
      <c r="H3" s="397"/>
      <c r="I3" s="397"/>
      <c r="J3" s="398">
        <f t="shared" ref="J3:J9" si="1">SUM(D3:E3)</f>
        <v>0.73</v>
      </c>
      <c r="K3" s="398">
        <f t="shared" ref="K3:K9" si="2">SUM(D3:F3)</f>
        <v>0.79</v>
      </c>
      <c r="L3" s="397" t="s">
        <v>2019</v>
      </c>
      <c r="M3" s="399">
        <v>0.73</v>
      </c>
      <c r="N3" s="399">
        <v>0.79</v>
      </c>
      <c r="O3" s="400" t="s">
        <v>2019</v>
      </c>
    </row>
    <row r="4" spans="1:15">
      <c r="A4" s="397" t="s">
        <v>321</v>
      </c>
      <c r="B4" s="397" t="s">
        <v>1103</v>
      </c>
      <c r="C4" s="397" t="str">
        <f t="shared" si="0"/>
        <v>NTElectricity</v>
      </c>
      <c r="D4" s="398">
        <v>0</v>
      </c>
      <c r="E4" s="398">
        <v>0.54</v>
      </c>
      <c r="F4" s="398">
        <v>7.0000000000000007E-2</v>
      </c>
      <c r="G4" s="397" t="s">
        <v>2019</v>
      </c>
      <c r="H4" s="397"/>
      <c r="I4" s="397"/>
      <c r="J4" s="398">
        <f t="shared" si="1"/>
        <v>0.54</v>
      </c>
      <c r="K4" s="398">
        <f t="shared" si="2"/>
        <v>0.6100000000000001</v>
      </c>
      <c r="L4" s="397" t="s">
        <v>2019</v>
      </c>
      <c r="M4" s="399">
        <v>0.54</v>
      </c>
      <c r="N4" s="399">
        <v>0.6100000000000001</v>
      </c>
      <c r="O4" s="400" t="s">
        <v>2019</v>
      </c>
    </row>
    <row r="5" spans="1:15">
      <c r="A5" s="397" t="s">
        <v>321</v>
      </c>
      <c r="B5" s="397" t="s">
        <v>1104</v>
      </c>
      <c r="C5" s="397" t="str">
        <f t="shared" si="0"/>
        <v>QLDElectricity</v>
      </c>
      <c r="D5" s="398">
        <v>0</v>
      </c>
      <c r="E5" s="398">
        <v>0.73</v>
      </c>
      <c r="F5" s="398">
        <v>0.15</v>
      </c>
      <c r="G5" s="397" t="s">
        <v>2019</v>
      </c>
      <c r="H5" s="397"/>
      <c r="I5" s="397"/>
      <c r="J5" s="398">
        <f t="shared" si="1"/>
        <v>0.73</v>
      </c>
      <c r="K5" s="398">
        <f t="shared" si="2"/>
        <v>0.88</v>
      </c>
      <c r="L5" s="397" t="s">
        <v>2019</v>
      </c>
      <c r="M5" s="399">
        <v>0.73</v>
      </c>
      <c r="N5" s="399">
        <v>0.88</v>
      </c>
      <c r="O5" s="400" t="s">
        <v>2019</v>
      </c>
    </row>
    <row r="6" spans="1:15">
      <c r="A6" s="397" t="s">
        <v>321</v>
      </c>
      <c r="B6" s="397" t="s">
        <v>1105</v>
      </c>
      <c r="C6" s="397" t="str">
        <f t="shared" si="0"/>
        <v>SAElectricity</v>
      </c>
      <c r="D6" s="398">
        <v>0</v>
      </c>
      <c r="E6" s="398">
        <v>0.25</v>
      </c>
      <c r="F6" s="398">
        <v>0.08</v>
      </c>
      <c r="G6" s="397" t="s">
        <v>2019</v>
      </c>
      <c r="H6" s="397"/>
      <c r="I6" s="397"/>
      <c r="J6" s="398">
        <f t="shared" si="1"/>
        <v>0.25</v>
      </c>
      <c r="K6" s="398">
        <f t="shared" si="2"/>
        <v>0.33</v>
      </c>
      <c r="L6" s="397" t="s">
        <v>2019</v>
      </c>
      <c r="M6" s="399">
        <v>0.25</v>
      </c>
      <c r="N6" s="399">
        <v>0.33</v>
      </c>
      <c r="O6" s="400" t="s">
        <v>2019</v>
      </c>
    </row>
    <row r="7" spans="1:15">
      <c r="A7" s="397" t="s">
        <v>321</v>
      </c>
      <c r="B7" s="397" t="s">
        <v>1106</v>
      </c>
      <c r="C7" s="397" t="str">
        <f t="shared" si="0"/>
        <v>TASElectricity</v>
      </c>
      <c r="D7" s="398">
        <v>0</v>
      </c>
      <c r="E7" s="398">
        <v>0.17</v>
      </c>
      <c r="F7" s="398">
        <v>0.01</v>
      </c>
      <c r="G7" s="397" t="s">
        <v>2019</v>
      </c>
      <c r="H7" s="397"/>
      <c r="I7" s="397"/>
      <c r="J7" s="398">
        <f t="shared" si="1"/>
        <v>0.17</v>
      </c>
      <c r="K7" s="398">
        <f t="shared" si="2"/>
        <v>0.18000000000000002</v>
      </c>
      <c r="L7" s="397" t="s">
        <v>2019</v>
      </c>
      <c r="M7" s="399">
        <v>0.17</v>
      </c>
      <c r="N7" s="399">
        <v>0.18000000000000002</v>
      </c>
      <c r="O7" s="400" t="s">
        <v>2019</v>
      </c>
    </row>
    <row r="8" spans="1:15">
      <c r="A8" s="397" t="s">
        <v>321</v>
      </c>
      <c r="B8" s="397" t="s">
        <v>1107</v>
      </c>
      <c r="C8" s="397" t="str">
        <f t="shared" si="0"/>
        <v>VICElectricity</v>
      </c>
      <c r="D8" s="398">
        <v>0</v>
      </c>
      <c r="E8" s="398">
        <v>0.85</v>
      </c>
      <c r="F8" s="398">
        <v>7.0000000000000007E-2</v>
      </c>
      <c r="G8" s="397" t="s">
        <v>2019</v>
      </c>
      <c r="H8" s="397"/>
      <c r="I8" s="397"/>
      <c r="J8" s="398">
        <f t="shared" si="1"/>
        <v>0.85</v>
      </c>
      <c r="K8" s="398">
        <f t="shared" si="2"/>
        <v>0.91999999999999993</v>
      </c>
      <c r="L8" s="397" t="s">
        <v>2019</v>
      </c>
      <c r="M8" s="399">
        <v>0.85</v>
      </c>
      <c r="N8" s="399">
        <v>0.91999999999999993</v>
      </c>
      <c r="O8" s="400" t="s">
        <v>2019</v>
      </c>
    </row>
    <row r="9" spans="1:15">
      <c r="A9" s="397" t="s">
        <v>321</v>
      </c>
      <c r="B9" s="397" t="s">
        <v>1108</v>
      </c>
      <c r="C9" s="397" t="str">
        <f t="shared" si="0"/>
        <v>WAElectricity</v>
      </c>
      <c r="D9" s="398">
        <v>0</v>
      </c>
      <c r="E9" s="398">
        <v>0.51</v>
      </c>
      <c r="F9" s="398">
        <v>0.04</v>
      </c>
      <c r="G9" s="397" t="s">
        <v>2019</v>
      </c>
      <c r="H9" s="397"/>
      <c r="I9" s="397"/>
      <c r="J9" s="398">
        <f t="shared" si="1"/>
        <v>0.51</v>
      </c>
      <c r="K9" s="398">
        <f t="shared" si="2"/>
        <v>0.55000000000000004</v>
      </c>
      <c r="L9" s="397" t="s">
        <v>2019</v>
      </c>
      <c r="M9" s="399">
        <v>0.51</v>
      </c>
      <c r="N9" s="399">
        <v>0.55000000000000004</v>
      </c>
      <c r="O9" s="400" t="s">
        <v>2019</v>
      </c>
    </row>
    <row r="10" spans="1:15">
      <c r="A10" s="397" t="s">
        <v>322</v>
      </c>
      <c r="B10" s="397" t="s">
        <v>1101</v>
      </c>
      <c r="C10" s="397" t="str">
        <f t="shared" si="0"/>
        <v>ACTGas</v>
      </c>
      <c r="D10" s="398">
        <v>51.53</v>
      </c>
      <c r="E10" s="398">
        <v>0</v>
      </c>
      <c r="F10" s="398">
        <v>13.1</v>
      </c>
      <c r="G10" s="397" t="s">
        <v>2020</v>
      </c>
      <c r="H10" s="397"/>
      <c r="I10" s="397"/>
      <c r="J10" s="397">
        <v>5.1529999999999999E-2</v>
      </c>
      <c r="K10" s="397">
        <v>6.4630000000000007E-2</v>
      </c>
      <c r="L10" s="397" t="s">
        <v>2021</v>
      </c>
      <c r="M10" s="399">
        <v>0.18550800000000001</v>
      </c>
      <c r="N10" s="399">
        <v>0.23266800000000004</v>
      </c>
      <c r="O10" s="400" t="s">
        <v>2019</v>
      </c>
    </row>
    <row r="11" spans="1:15">
      <c r="A11" s="397" t="s">
        <v>322</v>
      </c>
      <c r="B11" s="397" t="s">
        <v>1102</v>
      </c>
      <c r="C11" s="397" t="str">
        <f t="shared" si="0"/>
        <v>NSWGas</v>
      </c>
      <c r="D11" s="398">
        <v>51.53</v>
      </c>
      <c r="E11" s="398">
        <v>0</v>
      </c>
      <c r="F11" s="398">
        <v>13.1</v>
      </c>
      <c r="G11" s="397" t="s">
        <v>2020</v>
      </c>
      <c r="H11" s="397"/>
      <c r="I11" s="397"/>
      <c r="J11" s="397">
        <v>5.1529999999999999E-2</v>
      </c>
      <c r="K11" s="397">
        <v>6.4630000000000007E-2</v>
      </c>
      <c r="L11" s="397" t="s">
        <v>2021</v>
      </c>
      <c r="M11" s="399">
        <v>0.18550800000000001</v>
      </c>
      <c r="N11" s="399">
        <v>0.23266800000000004</v>
      </c>
      <c r="O11" s="400" t="s">
        <v>2019</v>
      </c>
    </row>
    <row r="12" spans="1:15">
      <c r="A12" s="397" t="s">
        <v>322</v>
      </c>
      <c r="B12" s="397" t="s">
        <v>1103</v>
      </c>
      <c r="C12" s="397" t="str">
        <f t="shared" si="0"/>
        <v>NTGas</v>
      </c>
      <c r="D12" s="398">
        <v>51.53</v>
      </c>
      <c r="E12" s="398">
        <v>0</v>
      </c>
      <c r="F12" s="398">
        <v>0</v>
      </c>
      <c r="G12" s="397" t="s">
        <v>2020</v>
      </c>
      <c r="H12" s="397"/>
      <c r="I12" s="397"/>
      <c r="J12" s="397">
        <v>5.1529999999999999E-2</v>
      </c>
      <c r="K12" s="397">
        <v>5.1529999999999999E-2</v>
      </c>
      <c r="L12" s="397" t="s">
        <v>2021</v>
      </c>
      <c r="M12" s="399">
        <v>0.18550800000000001</v>
      </c>
      <c r="N12" s="399">
        <v>0.18550800000000001</v>
      </c>
      <c r="O12" s="400" t="s">
        <v>2019</v>
      </c>
    </row>
    <row r="13" spans="1:15">
      <c r="A13" s="397" t="s">
        <v>322</v>
      </c>
      <c r="B13" s="397" t="s">
        <v>1104</v>
      </c>
      <c r="C13" s="397" t="str">
        <f t="shared" si="0"/>
        <v>QLDGas</v>
      </c>
      <c r="D13" s="398">
        <v>51.53</v>
      </c>
      <c r="E13" s="398">
        <v>0</v>
      </c>
      <c r="F13" s="398">
        <v>8.8000000000000007</v>
      </c>
      <c r="G13" s="397" t="s">
        <v>2020</v>
      </c>
      <c r="H13" s="397"/>
      <c r="I13" s="397"/>
      <c r="J13" s="397">
        <v>5.1529999999999999E-2</v>
      </c>
      <c r="K13" s="397">
        <v>6.0330000000000002E-2</v>
      </c>
      <c r="L13" s="397" t="s">
        <v>2021</v>
      </c>
      <c r="M13" s="399">
        <v>0.18550800000000001</v>
      </c>
      <c r="N13" s="399">
        <v>0.21718800000000002</v>
      </c>
      <c r="O13" s="400" t="s">
        <v>2019</v>
      </c>
    </row>
    <row r="14" spans="1:15">
      <c r="A14" s="397" t="s">
        <v>322</v>
      </c>
      <c r="B14" s="397" t="s">
        <v>1105</v>
      </c>
      <c r="C14" s="397" t="str">
        <f t="shared" si="0"/>
        <v>SAGas</v>
      </c>
      <c r="D14" s="398">
        <v>51.53</v>
      </c>
      <c r="E14" s="398">
        <v>0</v>
      </c>
      <c r="F14" s="398">
        <v>10.7</v>
      </c>
      <c r="G14" s="397" t="s">
        <v>2020</v>
      </c>
      <c r="H14" s="397"/>
      <c r="I14" s="397"/>
      <c r="J14" s="397">
        <v>5.1529999999999999E-2</v>
      </c>
      <c r="K14" s="397">
        <v>6.2230000000000001E-2</v>
      </c>
      <c r="L14" s="397" t="s">
        <v>2021</v>
      </c>
      <c r="M14" s="399">
        <v>0.18550800000000001</v>
      </c>
      <c r="N14" s="399">
        <v>0.224028</v>
      </c>
      <c r="O14" s="400" t="s">
        <v>2019</v>
      </c>
    </row>
    <row r="15" spans="1:15">
      <c r="A15" s="397" t="s">
        <v>322</v>
      </c>
      <c r="B15" s="397" t="s">
        <v>1106</v>
      </c>
      <c r="C15" s="397" t="str">
        <f t="shared" si="0"/>
        <v>TASGas</v>
      </c>
      <c r="D15" s="398">
        <v>51.53</v>
      </c>
      <c r="E15" s="398">
        <v>0</v>
      </c>
      <c r="F15" s="398">
        <v>0</v>
      </c>
      <c r="G15" s="397" t="s">
        <v>2020</v>
      </c>
      <c r="H15" s="397"/>
      <c r="I15" s="397"/>
      <c r="J15" s="397">
        <v>5.1529999999999999E-2</v>
      </c>
      <c r="K15" s="397">
        <v>5.1529999999999999E-2</v>
      </c>
      <c r="L15" s="397" t="s">
        <v>2021</v>
      </c>
      <c r="M15" s="399">
        <v>0.18550800000000001</v>
      </c>
      <c r="N15" s="399">
        <v>0.18550800000000001</v>
      </c>
      <c r="O15" s="400" t="s">
        <v>2019</v>
      </c>
    </row>
    <row r="16" spans="1:15">
      <c r="A16" s="397" t="s">
        <v>322</v>
      </c>
      <c r="B16" s="397" t="s">
        <v>1107</v>
      </c>
      <c r="C16" s="397" t="str">
        <f t="shared" si="0"/>
        <v>VICGas</v>
      </c>
      <c r="D16" s="398">
        <v>51.53</v>
      </c>
      <c r="E16" s="398">
        <v>0</v>
      </c>
      <c r="F16" s="398">
        <v>4</v>
      </c>
      <c r="G16" s="397" t="s">
        <v>2020</v>
      </c>
      <c r="H16" s="397"/>
      <c r="I16" s="397"/>
      <c r="J16" s="397">
        <v>5.1529999999999999E-2</v>
      </c>
      <c r="K16" s="397">
        <v>5.5530000000000003E-2</v>
      </c>
      <c r="L16" s="397" t="s">
        <v>2021</v>
      </c>
      <c r="M16" s="399">
        <v>0.18550800000000001</v>
      </c>
      <c r="N16" s="399">
        <v>0.199908</v>
      </c>
      <c r="O16" s="400" t="s">
        <v>2019</v>
      </c>
    </row>
    <row r="17" spans="1:15">
      <c r="A17" s="397" t="s">
        <v>322</v>
      </c>
      <c r="B17" s="397" t="s">
        <v>1108</v>
      </c>
      <c r="C17" s="397" t="str">
        <f t="shared" si="0"/>
        <v>WAGas</v>
      </c>
      <c r="D17" s="398">
        <v>51.53</v>
      </c>
      <c r="E17" s="398">
        <v>0</v>
      </c>
      <c r="F17" s="398">
        <v>4.0999999999999996</v>
      </c>
      <c r="G17" s="397" t="s">
        <v>2020</v>
      </c>
      <c r="H17" s="397"/>
      <c r="I17" s="397"/>
      <c r="J17" s="397">
        <v>5.1529999999999999E-2</v>
      </c>
      <c r="K17" s="397">
        <v>5.5629999999999999E-2</v>
      </c>
      <c r="L17" s="397" t="s">
        <v>2021</v>
      </c>
      <c r="M17" s="399">
        <v>0.18550800000000001</v>
      </c>
      <c r="N17" s="399">
        <v>0.200268</v>
      </c>
      <c r="O17" s="400" t="s">
        <v>2019</v>
      </c>
    </row>
    <row r="18" spans="1:15">
      <c r="A18" s="397" t="s">
        <v>1117</v>
      </c>
      <c r="B18" s="397" t="s">
        <v>2022</v>
      </c>
      <c r="C18" s="397" t="s">
        <v>1117</v>
      </c>
      <c r="D18" s="398">
        <v>90.24</v>
      </c>
      <c r="E18" s="398">
        <v>0</v>
      </c>
      <c r="F18" s="398">
        <v>3</v>
      </c>
      <c r="G18" s="397" t="s">
        <v>2020</v>
      </c>
      <c r="H18" s="397">
        <v>27</v>
      </c>
      <c r="I18" s="397" t="s">
        <v>2023</v>
      </c>
      <c r="J18" s="397">
        <v>2.43648</v>
      </c>
      <c r="K18" s="397">
        <v>2.5174799999999999</v>
      </c>
      <c r="L18" s="397" t="s">
        <v>2024</v>
      </c>
      <c r="M18" s="399">
        <v>0.32486399999999999</v>
      </c>
      <c r="N18" s="399">
        <v>0.33566399999999996</v>
      </c>
      <c r="O18" s="400" t="s">
        <v>2019</v>
      </c>
    </row>
    <row r="19" spans="1:15">
      <c r="A19" s="397" t="s">
        <v>2025</v>
      </c>
      <c r="B19" s="397" t="s">
        <v>2022</v>
      </c>
      <c r="C19" s="397" t="s">
        <v>2025</v>
      </c>
      <c r="D19" s="398">
        <v>70.2</v>
      </c>
      <c r="E19" s="398">
        <v>0</v>
      </c>
      <c r="F19" s="398">
        <v>17.3</v>
      </c>
      <c r="G19" s="397" t="s">
        <v>2020</v>
      </c>
      <c r="H19" s="397">
        <v>38.6</v>
      </c>
      <c r="I19" s="397" t="s">
        <v>2026</v>
      </c>
      <c r="J19" s="397">
        <v>2.7097199999999999</v>
      </c>
      <c r="K19" s="397">
        <v>3.3775000000000004</v>
      </c>
      <c r="L19" s="397" t="s">
        <v>2027</v>
      </c>
      <c r="M19" s="399">
        <v>0.25272</v>
      </c>
      <c r="N19" s="399">
        <v>0.315</v>
      </c>
      <c r="O19" s="400" t="s">
        <v>2019</v>
      </c>
    </row>
    <row r="20" spans="1:15">
      <c r="A20" s="397" t="s">
        <v>851</v>
      </c>
      <c r="B20" s="397" t="s">
        <v>2022</v>
      </c>
      <c r="C20" s="397" t="s">
        <v>851</v>
      </c>
      <c r="D20" s="398">
        <v>60.6</v>
      </c>
      <c r="E20" s="398">
        <v>0</v>
      </c>
      <c r="F20" s="398">
        <v>20.2</v>
      </c>
      <c r="G20" s="397" t="s">
        <v>2020</v>
      </c>
      <c r="H20" s="397">
        <v>25.7</v>
      </c>
      <c r="I20" s="397" t="s">
        <v>2026</v>
      </c>
      <c r="J20" s="397">
        <v>1.55742</v>
      </c>
      <c r="K20" s="397">
        <v>2.0765599999999997</v>
      </c>
      <c r="L20" s="397" t="s">
        <v>2027</v>
      </c>
      <c r="M20" s="399">
        <v>0.21815999999999999</v>
      </c>
      <c r="N20" s="399">
        <v>0.29087999999999997</v>
      </c>
      <c r="O20" s="400" t="s">
        <v>2019</v>
      </c>
    </row>
    <row r="26" spans="1:15">
      <c r="B26" s="401" t="s">
        <v>327</v>
      </c>
      <c r="C26" s="402" t="s">
        <v>2028</v>
      </c>
      <c r="D26" s="402" t="s">
        <v>2029</v>
      </c>
      <c r="E26" s="402" t="s">
        <v>2030</v>
      </c>
      <c r="F26" s="402" t="s">
        <v>2031</v>
      </c>
      <c r="G26" s="402" t="s">
        <v>2032</v>
      </c>
      <c r="H26" s="402" t="s">
        <v>2033</v>
      </c>
      <c r="I26" s="402" t="s">
        <v>2034</v>
      </c>
      <c r="J26" s="402" t="s">
        <v>2035</v>
      </c>
      <c r="K26" s="402" t="s">
        <v>2036</v>
      </c>
      <c r="L26" s="402" t="s">
        <v>2037</v>
      </c>
    </row>
    <row r="27" spans="1:15">
      <c r="B27" s="662" t="s">
        <v>1101</v>
      </c>
      <c r="C27" s="396">
        <f>K2</f>
        <v>0.79</v>
      </c>
      <c r="D27" s="396">
        <f>K10</f>
        <v>6.4630000000000007E-2</v>
      </c>
      <c r="E27" s="396">
        <f>$K$19</f>
        <v>3.3775000000000004</v>
      </c>
      <c r="F27" s="396">
        <f>$K$18</f>
        <v>2.5174799999999999</v>
      </c>
      <c r="G27" s="396">
        <f>$K$20</f>
        <v>2.0765599999999997</v>
      </c>
      <c r="H27" s="396">
        <f>J2</f>
        <v>0.73</v>
      </c>
      <c r="I27" s="396">
        <f>J10</f>
        <v>5.1529999999999999E-2</v>
      </c>
      <c r="J27" s="396">
        <f>$J$19</f>
        <v>2.7097199999999999</v>
      </c>
      <c r="K27" s="396">
        <f>$J$18</f>
        <v>2.43648</v>
      </c>
      <c r="L27" s="396">
        <f>$J$20</f>
        <v>1.55742</v>
      </c>
    </row>
    <row r="28" spans="1:15">
      <c r="B28" s="662" t="s">
        <v>1102</v>
      </c>
      <c r="C28" s="396">
        <f t="shared" ref="C28:C34" si="3">K3</f>
        <v>0.79</v>
      </c>
      <c r="D28" s="396">
        <f t="shared" ref="D28:D34" si="4">K11</f>
        <v>6.4630000000000007E-2</v>
      </c>
      <c r="E28" s="396">
        <f t="shared" ref="E28:E34" si="5">$K$19</f>
        <v>3.3775000000000004</v>
      </c>
      <c r="F28" s="396">
        <f t="shared" ref="F28:F34" si="6">$K$18</f>
        <v>2.5174799999999999</v>
      </c>
      <c r="G28" s="396">
        <f t="shared" ref="G28:G34" si="7">$K$20</f>
        <v>2.0765599999999997</v>
      </c>
      <c r="H28" s="396">
        <f t="shared" ref="H28:H34" si="8">J3</f>
        <v>0.73</v>
      </c>
      <c r="I28" s="396">
        <f t="shared" ref="I28:I34" si="9">J11</f>
        <v>5.1529999999999999E-2</v>
      </c>
      <c r="J28" s="396">
        <f t="shared" ref="J28:J34" si="10">$J$19</f>
        <v>2.7097199999999999</v>
      </c>
      <c r="K28" s="396">
        <f t="shared" ref="K28:K34" si="11">$J$18</f>
        <v>2.43648</v>
      </c>
      <c r="L28" s="396">
        <f t="shared" ref="L28:L34" si="12">$J$20</f>
        <v>1.55742</v>
      </c>
    </row>
    <row r="29" spans="1:15">
      <c r="B29" s="662" t="s">
        <v>1103</v>
      </c>
      <c r="C29" s="396">
        <f t="shared" si="3"/>
        <v>0.6100000000000001</v>
      </c>
      <c r="D29" s="396">
        <f t="shared" si="4"/>
        <v>5.1529999999999999E-2</v>
      </c>
      <c r="E29" s="396">
        <f t="shared" si="5"/>
        <v>3.3775000000000004</v>
      </c>
      <c r="F29" s="396">
        <f t="shared" si="6"/>
        <v>2.5174799999999999</v>
      </c>
      <c r="G29" s="396">
        <f t="shared" si="7"/>
        <v>2.0765599999999997</v>
      </c>
      <c r="H29" s="396">
        <f t="shared" si="8"/>
        <v>0.54</v>
      </c>
      <c r="I29" s="396">
        <f t="shared" si="9"/>
        <v>5.1529999999999999E-2</v>
      </c>
      <c r="J29" s="396">
        <f t="shared" si="10"/>
        <v>2.7097199999999999</v>
      </c>
      <c r="K29" s="396">
        <f t="shared" si="11"/>
        <v>2.43648</v>
      </c>
      <c r="L29" s="396">
        <f t="shared" si="12"/>
        <v>1.55742</v>
      </c>
    </row>
    <row r="30" spans="1:15">
      <c r="B30" s="662" t="s">
        <v>1104</v>
      </c>
      <c r="C30" s="396">
        <f t="shared" si="3"/>
        <v>0.88</v>
      </c>
      <c r="D30" s="396">
        <f t="shared" si="4"/>
        <v>6.0330000000000002E-2</v>
      </c>
      <c r="E30" s="396">
        <f t="shared" si="5"/>
        <v>3.3775000000000004</v>
      </c>
      <c r="F30" s="396">
        <f t="shared" si="6"/>
        <v>2.5174799999999999</v>
      </c>
      <c r="G30" s="396">
        <f t="shared" si="7"/>
        <v>2.0765599999999997</v>
      </c>
      <c r="H30" s="396">
        <f t="shared" si="8"/>
        <v>0.73</v>
      </c>
      <c r="I30" s="396">
        <f t="shared" si="9"/>
        <v>5.1529999999999999E-2</v>
      </c>
      <c r="J30" s="396">
        <f t="shared" si="10"/>
        <v>2.7097199999999999</v>
      </c>
      <c r="K30" s="396">
        <f t="shared" si="11"/>
        <v>2.43648</v>
      </c>
      <c r="L30" s="396">
        <f t="shared" si="12"/>
        <v>1.55742</v>
      </c>
    </row>
    <row r="31" spans="1:15">
      <c r="B31" s="662" t="s">
        <v>1105</v>
      </c>
      <c r="C31" s="396">
        <f t="shared" si="3"/>
        <v>0.33</v>
      </c>
      <c r="D31" s="396">
        <f t="shared" si="4"/>
        <v>6.2230000000000001E-2</v>
      </c>
      <c r="E31" s="396">
        <f t="shared" si="5"/>
        <v>3.3775000000000004</v>
      </c>
      <c r="F31" s="396">
        <f t="shared" si="6"/>
        <v>2.5174799999999999</v>
      </c>
      <c r="G31" s="396">
        <f t="shared" si="7"/>
        <v>2.0765599999999997</v>
      </c>
      <c r="H31" s="396">
        <f t="shared" si="8"/>
        <v>0.25</v>
      </c>
      <c r="I31" s="396">
        <f t="shared" si="9"/>
        <v>5.1529999999999999E-2</v>
      </c>
      <c r="J31" s="396">
        <f t="shared" si="10"/>
        <v>2.7097199999999999</v>
      </c>
      <c r="K31" s="396">
        <f t="shared" si="11"/>
        <v>2.43648</v>
      </c>
      <c r="L31" s="396">
        <f t="shared" si="12"/>
        <v>1.55742</v>
      </c>
    </row>
    <row r="32" spans="1:15">
      <c r="B32" s="662" t="s">
        <v>1106</v>
      </c>
      <c r="C32" s="396">
        <f t="shared" si="3"/>
        <v>0.18000000000000002</v>
      </c>
      <c r="D32" s="396">
        <f t="shared" si="4"/>
        <v>5.1529999999999999E-2</v>
      </c>
      <c r="E32" s="396">
        <f t="shared" si="5"/>
        <v>3.3775000000000004</v>
      </c>
      <c r="F32" s="396">
        <f t="shared" si="6"/>
        <v>2.5174799999999999</v>
      </c>
      <c r="G32" s="396">
        <f t="shared" si="7"/>
        <v>2.0765599999999997</v>
      </c>
      <c r="H32" s="396">
        <f t="shared" si="8"/>
        <v>0.17</v>
      </c>
      <c r="I32" s="396">
        <f t="shared" si="9"/>
        <v>5.1529999999999999E-2</v>
      </c>
      <c r="J32" s="396">
        <f t="shared" si="10"/>
        <v>2.7097199999999999</v>
      </c>
      <c r="K32" s="396">
        <f t="shared" si="11"/>
        <v>2.43648</v>
      </c>
      <c r="L32" s="396">
        <f t="shared" si="12"/>
        <v>1.55742</v>
      </c>
    </row>
    <row r="33" spans="2:12">
      <c r="B33" s="662" t="s">
        <v>1107</v>
      </c>
      <c r="C33" s="396">
        <f t="shared" si="3"/>
        <v>0.91999999999999993</v>
      </c>
      <c r="D33" s="396">
        <f t="shared" si="4"/>
        <v>5.5530000000000003E-2</v>
      </c>
      <c r="E33" s="396">
        <f t="shared" si="5"/>
        <v>3.3775000000000004</v>
      </c>
      <c r="F33" s="396">
        <f t="shared" si="6"/>
        <v>2.5174799999999999</v>
      </c>
      <c r="G33" s="396">
        <f t="shared" si="7"/>
        <v>2.0765599999999997</v>
      </c>
      <c r="H33" s="396">
        <f t="shared" si="8"/>
        <v>0.85</v>
      </c>
      <c r="I33" s="396">
        <f t="shared" si="9"/>
        <v>5.1529999999999999E-2</v>
      </c>
      <c r="J33" s="396">
        <f t="shared" si="10"/>
        <v>2.7097199999999999</v>
      </c>
      <c r="K33" s="396">
        <f t="shared" si="11"/>
        <v>2.43648</v>
      </c>
      <c r="L33" s="396">
        <f t="shared" si="12"/>
        <v>1.55742</v>
      </c>
    </row>
    <row r="34" spans="2:12">
      <c r="B34" s="662" t="s">
        <v>1108</v>
      </c>
      <c r="C34" s="396">
        <f t="shared" si="3"/>
        <v>0.55000000000000004</v>
      </c>
      <c r="D34" s="396">
        <f t="shared" si="4"/>
        <v>5.5629999999999999E-2</v>
      </c>
      <c r="E34" s="396">
        <f t="shared" si="5"/>
        <v>3.3775000000000004</v>
      </c>
      <c r="F34" s="396">
        <f t="shared" si="6"/>
        <v>2.5174799999999999</v>
      </c>
      <c r="G34" s="396">
        <f t="shared" si="7"/>
        <v>2.0765599999999997</v>
      </c>
      <c r="H34" s="396">
        <f t="shared" si="8"/>
        <v>0.51</v>
      </c>
      <c r="I34" s="396">
        <f t="shared" si="9"/>
        <v>5.1529999999999999E-2</v>
      </c>
      <c r="J34" s="396">
        <f t="shared" si="10"/>
        <v>2.7097199999999999</v>
      </c>
      <c r="K34" s="396">
        <f t="shared" si="11"/>
        <v>2.43648</v>
      </c>
      <c r="L34" s="396">
        <f t="shared" si="12"/>
        <v>1.55742</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31EC9-7CEF-4B50-972B-1CDD9A1EACFA}">
  <sheetPr codeName="Sheet19">
    <tabColor rgb="FF00799A"/>
  </sheetPr>
  <dimension ref="A1:F116"/>
  <sheetViews>
    <sheetView topLeftCell="A92" workbookViewId="0">
      <selection activeCell="C116" sqref="C116"/>
    </sheetView>
  </sheetViews>
  <sheetFormatPr defaultColWidth="9" defaultRowHeight="13.9"/>
  <cols>
    <col min="1" max="1" width="13" style="278" customWidth="1"/>
    <col min="2" max="2" width="12.28515625" style="278" customWidth="1"/>
    <col min="3" max="3" width="42.85546875" style="278" customWidth="1"/>
    <col min="4" max="4" width="21" style="278" customWidth="1"/>
    <col min="5" max="16384" width="9" style="278"/>
  </cols>
  <sheetData>
    <row r="1" spans="1:6" ht="20.25" customHeight="1">
      <c r="A1" s="523" t="s">
        <v>2038</v>
      </c>
    </row>
    <row r="2" spans="1:6">
      <c r="A2" s="278" t="s">
        <v>2039</v>
      </c>
    </row>
    <row r="4" spans="1:6">
      <c r="A4" s="524" t="s">
        <v>3</v>
      </c>
      <c r="B4" s="525">
        <v>20</v>
      </c>
      <c r="C4" s="524" t="s">
        <v>5</v>
      </c>
      <c r="D4" s="526">
        <v>44610</v>
      </c>
    </row>
    <row r="6" spans="1:6" ht="15.6">
      <c r="A6" s="527" t="s">
        <v>2040</v>
      </c>
    </row>
    <row r="7" spans="1:6">
      <c r="A7" s="278" t="s">
        <v>2041</v>
      </c>
      <c r="B7" s="528">
        <v>44610</v>
      </c>
      <c r="C7" s="278" t="s">
        <v>2042</v>
      </c>
    </row>
    <row r="8" spans="1:6">
      <c r="B8" s="528">
        <v>44610</v>
      </c>
      <c r="C8" s="278" t="s">
        <v>2043</v>
      </c>
    </row>
    <row r="9" spans="1:6">
      <c r="B9" s="528"/>
      <c r="C9" s="278" t="s">
        <v>2044</v>
      </c>
    </row>
    <row r="10" spans="1:6" ht="15.6">
      <c r="A10" s="527" t="s">
        <v>2040</v>
      </c>
    </row>
    <row r="11" spans="1:6">
      <c r="A11" s="278" t="s">
        <v>2045</v>
      </c>
      <c r="B11" s="528">
        <v>44602</v>
      </c>
      <c r="C11" s="278" t="s">
        <v>2046</v>
      </c>
      <c r="F11" s="278" t="s">
        <v>2047</v>
      </c>
    </row>
    <row r="12" spans="1:6">
      <c r="A12" s="278" t="s">
        <v>2045</v>
      </c>
      <c r="B12" s="528">
        <v>44601</v>
      </c>
      <c r="C12" s="278" t="s">
        <v>2048</v>
      </c>
    </row>
    <row r="13" spans="1:6">
      <c r="A13" s="278" t="s">
        <v>1609</v>
      </c>
      <c r="B13" s="528">
        <v>44593</v>
      </c>
      <c r="C13" s="278" t="s">
        <v>2049</v>
      </c>
      <c r="F13" s="278" t="s">
        <v>2047</v>
      </c>
    </row>
    <row r="14" spans="1:6">
      <c r="A14" s="278" t="s">
        <v>1611</v>
      </c>
      <c r="B14" s="528">
        <v>44593</v>
      </c>
      <c r="C14" s="278" t="s">
        <v>2050</v>
      </c>
      <c r="F14" s="278" t="s">
        <v>2047</v>
      </c>
    </row>
    <row r="15" spans="1:6">
      <c r="A15" s="278" t="s">
        <v>1079</v>
      </c>
      <c r="B15" s="528">
        <v>44602</v>
      </c>
      <c r="C15" s="278" t="s">
        <v>2051</v>
      </c>
      <c r="F15" s="278" t="s">
        <v>2047</v>
      </c>
    </row>
    <row r="16" spans="1:6">
      <c r="A16" s="278" t="s">
        <v>1080</v>
      </c>
      <c r="B16" s="528">
        <v>44594</v>
      </c>
      <c r="C16" s="278" t="s">
        <v>2052</v>
      </c>
      <c r="F16" s="278" t="s">
        <v>2053</v>
      </c>
    </row>
    <row r="17" spans="1:6">
      <c r="A17" s="278" t="s">
        <v>2054</v>
      </c>
      <c r="B17" s="528">
        <v>44600</v>
      </c>
      <c r="C17" s="278" t="s">
        <v>2055</v>
      </c>
    </row>
    <row r="18" spans="1:6">
      <c r="A18" s="278" t="s">
        <v>2056</v>
      </c>
      <c r="B18" s="528">
        <v>44594</v>
      </c>
      <c r="C18" s="278" t="s">
        <v>2057</v>
      </c>
      <c r="F18" s="529" t="s">
        <v>2058</v>
      </c>
    </row>
    <row r="19" spans="1:6">
      <c r="A19" s="278" t="s">
        <v>2059</v>
      </c>
      <c r="B19" s="528">
        <v>44603</v>
      </c>
      <c r="C19" s="278" t="s">
        <v>2060</v>
      </c>
    </row>
    <row r="20" spans="1:6">
      <c r="A20" s="278" t="s">
        <v>2061</v>
      </c>
      <c r="B20" s="528">
        <v>44603</v>
      </c>
      <c r="C20" s="278" t="s">
        <v>2062</v>
      </c>
    </row>
    <row r="21" spans="1:6">
      <c r="A21" s="278" t="s">
        <v>2063</v>
      </c>
      <c r="B21" s="528">
        <v>44609</v>
      </c>
      <c r="C21" s="278" t="s">
        <v>2064</v>
      </c>
    </row>
    <row r="24" spans="1:6" ht="15.6">
      <c r="A24" s="527" t="s">
        <v>2065</v>
      </c>
    </row>
    <row r="25" spans="1:6">
      <c r="A25" s="277" t="s">
        <v>2066</v>
      </c>
      <c r="B25" s="277" t="s">
        <v>2067</v>
      </c>
      <c r="C25" s="277" t="s">
        <v>2068</v>
      </c>
      <c r="D25" s="277" t="s">
        <v>2069</v>
      </c>
      <c r="E25" s="277" t="s">
        <v>2070</v>
      </c>
    </row>
    <row r="26" spans="1:6">
      <c r="A26" s="278" t="s">
        <v>1612</v>
      </c>
      <c r="B26" s="528">
        <v>44593</v>
      </c>
      <c r="C26" s="278" t="s">
        <v>2071</v>
      </c>
      <c r="D26" s="528">
        <v>44600</v>
      </c>
      <c r="E26" s="278" t="s">
        <v>2072</v>
      </c>
    </row>
    <row r="27" spans="1:6">
      <c r="A27" s="278" t="s">
        <v>2045</v>
      </c>
      <c r="B27" s="528">
        <v>44594</v>
      </c>
      <c r="C27" s="278" t="s">
        <v>2073</v>
      </c>
      <c r="D27" s="528">
        <v>44602</v>
      </c>
      <c r="E27" s="278" t="s">
        <v>2074</v>
      </c>
    </row>
    <row r="28" spans="1:6">
      <c r="A28" s="278" t="s">
        <v>1079</v>
      </c>
      <c r="B28" s="528">
        <v>44595</v>
      </c>
      <c r="C28" s="278" t="s">
        <v>2075</v>
      </c>
      <c r="D28" s="528">
        <v>44602</v>
      </c>
      <c r="E28" s="278" t="s">
        <v>2076</v>
      </c>
    </row>
    <row r="29" spans="1:6">
      <c r="A29" s="278" t="s">
        <v>1079</v>
      </c>
      <c r="B29" s="528">
        <v>44595</v>
      </c>
      <c r="C29" s="278" t="s">
        <v>2077</v>
      </c>
      <c r="D29" s="528">
        <v>44601</v>
      </c>
      <c r="E29" s="278" t="s">
        <v>2078</v>
      </c>
    </row>
    <row r="30" spans="1:6">
      <c r="A30" s="278" t="s">
        <v>2079</v>
      </c>
      <c r="B30" s="528">
        <v>44595</v>
      </c>
      <c r="C30" s="278" t="s">
        <v>2080</v>
      </c>
      <c r="D30" s="528">
        <v>44602</v>
      </c>
      <c r="E30" s="278" t="s">
        <v>2081</v>
      </c>
    </row>
    <row r="31" spans="1:6">
      <c r="A31" s="278" t="s">
        <v>2079</v>
      </c>
      <c r="B31" s="528">
        <v>44600</v>
      </c>
      <c r="C31" s="278" t="s">
        <v>2082</v>
      </c>
      <c r="D31" s="528">
        <v>44600</v>
      </c>
      <c r="E31" s="278" t="s">
        <v>2083</v>
      </c>
    </row>
    <row r="32" spans="1:6">
      <c r="A32" s="278" t="s">
        <v>2084</v>
      </c>
      <c r="B32" s="528">
        <v>44595</v>
      </c>
      <c r="C32" s="278" t="s">
        <v>2085</v>
      </c>
      <c r="D32" s="528">
        <v>44609</v>
      </c>
      <c r="E32" s="278" t="s">
        <v>2086</v>
      </c>
    </row>
    <row r="33" spans="1:5">
      <c r="A33" s="278" t="s">
        <v>2084</v>
      </c>
      <c r="B33" s="528">
        <v>44596</v>
      </c>
      <c r="C33" s="278" t="s">
        <v>2087</v>
      </c>
      <c r="D33" s="528">
        <v>44600</v>
      </c>
      <c r="E33" s="278" t="s">
        <v>2088</v>
      </c>
    </row>
    <row r="34" spans="1:5">
      <c r="A34" s="278" t="s">
        <v>2089</v>
      </c>
      <c r="B34" s="528">
        <v>44596</v>
      </c>
      <c r="C34" s="278" t="s">
        <v>2090</v>
      </c>
      <c r="D34" s="528">
        <v>44600</v>
      </c>
      <c r="E34" s="278" t="s">
        <v>2091</v>
      </c>
    </row>
    <row r="35" spans="1:5">
      <c r="A35" s="278" t="s">
        <v>2084</v>
      </c>
      <c r="B35" s="528">
        <v>44594</v>
      </c>
      <c r="C35" s="278" t="s">
        <v>2092</v>
      </c>
      <c r="D35" s="528">
        <v>44609</v>
      </c>
      <c r="E35" s="278" t="s">
        <v>2086</v>
      </c>
    </row>
    <row r="36" spans="1:5">
      <c r="B36" s="528"/>
    </row>
    <row r="37" spans="1:5">
      <c r="A37" s="278" t="s">
        <v>2045</v>
      </c>
      <c r="B37" s="528">
        <v>44594</v>
      </c>
      <c r="C37" s="278" t="s">
        <v>2093</v>
      </c>
      <c r="D37" s="528">
        <v>44599</v>
      </c>
      <c r="E37" s="278" t="s">
        <v>2094</v>
      </c>
    </row>
    <row r="38" spans="1:5">
      <c r="A38" s="278" t="s">
        <v>2059</v>
      </c>
      <c r="B38" s="528">
        <v>44596</v>
      </c>
      <c r="C38" s="278" t="s">
        <v>2095</v>
      </c>
    </row>
    <row r="39" spans="1:5">
      <c r="A39" s="278" t="s">
        <v>2089</v>
      </c>
      <c r="B39" s="528">
        <v>44596</v>
      </c>
      <c r="C39" s="278" t="s">
        <v>2096</v>
      </c>
      <c r="D39" s="528">
        <v>44602</v>
      </c>
      <c r="E39" s="278" t="s">
        <v>2078</v>
      </c>
    </row>
    <row r="40" spans="1:5">
      <c r="A40" s="278" t="s">
        <v>1148</v>
      </c>
      <c r="B40" s="528">
        <v>44596</v>
      </c>
      <c r="C40" s="278" t="s">
        <v>2097</v>
      </c>
    </row>
    <row r="41" spans="1:5">
      <c r="A41" s="278" t="s">
        <v>1148</v>
      </c>
      <c r="B41" s="528">
        <v>44599</v>
      </c>
      <c r="C41" s="278" t="s">
        <v>2098</v>
      </c>
      <c r="D41" s="528">
        <v>44600</v>
      </c>
      <c r="E41" s="278" t="s">
        <v>2078</v>
      </c>
    </row>
    <row r="42" spans="1:5">
      <c r="A42" s="278" t="s">
        <v>2045</v>
      </c>
      <c r="B42" s="528">
        <v>44600</v>
      </c>
      <c r="C42" s="278" t="s">
        <v>2099</v>
      </c>
      <c r="D42" s="528">
        <v>44600</v>
      </c>
      <c r="E42" s="278" t="s">
        <v>2100</v>
      </c>
    </row>
    <row r="43" spans="1:5">
      <c r="A43" s="278" t="s">
        <v>568</v>
      </c>
      <c r="B43" s="528">
        <v>44600</v>
      </c>
      <c r="C43" s="278" t="s">
        <v>2101</v>
      </c>
      <c r="D43" s="528">
        <v>44606</v>
      </c>
      <c r="E43" s="278" t="s">
        <v>2102</v>
      </c>
    </row>
    <row r="44" spans="1:5">
      <c r="C44" s="278" t="s">
        <v>2103</v>
      </c>
      <c r="D44" s="528">
        <v>44606</v>
      </c>
      <c r="E44" s="278" t="s">
        <v>2102</v>
      </c>
    </row>
    <row r="45" spans="1:5">
      <c r="A45" s="278" t="s">
        <v>1148</v>
      </c>
      <c r="B45" s="528">
        <v>44600</v>
      </c>
      <c r="C45" s="278" t="s">
        <v>2104</v>
      </c>
      <c r="D45" s="528">
        <v>44600</v>
      </c>
      <c r="E45" s="278" t="s">
        <v>2078</v>
      </c>
    </row>
    <row r="46" spans="1:5">
      <c r="A46" s="278" t="s">
        <v>2105</v>
      </c>
      <c r="B46" s="528">
        <v>44600</v>
      </c>
      <c r="C46" s="278" t="s">
        <v>2106</v>
      </c>
      <c r="D46" s="528">
        <v>44600</v>
      </c>
      <c r="E46" s="278" t="s">
        <v>2107</v>
      </c>
    </row>
    <row r="47" spans="1:5">
      <c r="A47" s="278" t="s">
        <v>1148</v>
      </c>
      <c r="B47" s="528">
        <v>44600</v>
      </c>
      <c r="C47" s="278" t="s">
        <v>2108</v>
      </c>
      <c r="D47" s="528">
        <v>44602</v>
      </c>
      <c r="E47" s="278" t="s">
        <v>2109</v>
      </c>
    </row>
    <row r="49" spans="1:5">
      <c r="A49" s="278" t="s">
        <v>2110</v>
      </c>
      <c r="B49" s="528">
        <v>44600</v>
      </c>
      <c r="C49" s="278" t="s">
        <v>2111</v>
      </c>
    </row>
    <row r="50" spans="1:5">
      <c r="A50" s="278" t="s">
        <v>1612</v>
      </c>
      <c r="B50" s="528">
        <v>44600</v>
      </c>
      <c r="C50" s="278" t="s">
        <v>2112</v>
      </c>
      <c r="D50" s="528">
        <v>44600</v>
      </c>
      <c r="E50" s="278" t="s">
        <v>2078</v>
      </c>
    </row>
    <row r="51" spans="1:5">
      <c r="A51" s="278" t="s">
        <v>2113</v>
      </c>
      <c r="B51" s="528">
        <v>44600</v>
      </c>
      <c r="C51" s="278" t="s">
        <v>2114</v>
      </c>
      <c r="D51" s="528">
        <v>44600</v>
      </c>
      <c r="E51" s="278" t="s">
        <v>2078</v>
      </c>
    </row>
    <row r="52" spans="1:5">
      <c r="A52" s="278" t="s">
        <v>1148</v>
      </c>
      <c r="B52" s="528">
        <v>44600</v>
      </c>
      <c r="C52" s="278" t="s">
        <v>2115</v>
      </c>
      <c r="D52" s="528">
        <v>44600</v>
      </c>
      <c r="E52" s="278" t="s">
        <v>2116</v>
      </c>
    </row>
    <row r="53" spans="1:5">
      <c r="A53" s="278" t="s">
        <v>1148</v>
      </c>
      <c r="B53" s="528">
        <v>44600</v>
      </c>
      <c r="C53" s="278" t="s">
        <v>2117</v>
      </c>
      <c r="D53" s="528">
        <v>44606</v>
      </c>
      <c r="E53" s="278" t="s">
        <v>2118</v>
      </c>
    </row>
    <row r="54" spans="1:5">
      <c r="A54" s="278" t="s">
        <v>2113</v>
      </c>
      <c r="B54" s="528">
        <v>44600</v>
      </c>
      <c r="C54" s="278" t="s">
        <v>2119</v>
      </c>
      <c r="D54" s="528">
        <v>44600</v>
      </c>
      <c r="E54" s="278" t="s">
        <v>2120</v>
      </c>
    </row>
    <row r="55" spans="1:5">
      <c r="A55" s="278" t="s">
        <v>1612</v>
      </c>
      <c r="B55" s="528">
        <v>44600</v>
      </c>
      <c r="C55" s="278" t="s">
        <v>2121</v>
      </c>
      <c r="D55" s="528">
        <v>44600</v>
      </c>
      <c r="E55" s="278" t="s">
        <v>2122</v>
      </c>
    </row>
    <row r="56" spans="1:5">
      <c r="A56" s="278" t="s">
        <v>1148</v>
      </c>
      <c r="B56" s="528">
        <v>44600</v>
      </c>
      <c r="C56" s="278" t="s">
        <v>2123</v>
      </c>
      <c r="D56" s="528">
        <v>44600</v>
      </c>
      <c r="E56" s="278" t="s">
        <v>2124</v>
      </c>
    </row>
    <row r="57" spans="1:5">
      <c r="A57" s="278" t="s">
        <v>2089</v>
      </c>
      <c r="B57" s="528">
        <v>44600</v>
      </c>
      <c r="C57" s="278" t="s">
        <v>2125</v>
      </c>
      <c r="D57" s="528">
        <v>44602</v>
      </c>
      <c r="E57" s="278" t="s">
        <v>2126</v>
      </c>
    </row>
    <row r="58" spans="1:5">
      <c r="A58" s="278" t="s">
        <v>1148</v>
      </c>
      <c r="B58" s="528">
        <v>44600</v>
      </c>
      <c r="C58" s="278" t="s">
        <v>2127</v>
      </c>
    </row>
    <row r="59" spans="1:5">
      <c r="A59" s="278" t="s">
        <v>2089</v>
      </c>
      <c r="B59" s="528">
        <v>44601</v>
      </c>
      <c r="C59" s="278" t="s">
        <v>2128</v>
      </c>
      <c r="D59" s="528">
        <v>44606</v>
      </c>
      <c r="E59" s="278" t="s">
        <v>2129</v>
      </c>
    </row>
    <row r="60" spans="1:5">
      <c r="A60" s="278" t="s">
        <v>1079</v>
      </c>
      <c r="B60" s="528">
        <v>44601</v>
      </c>
      <c r="C60" s="278" t="s">
        <v>2130</v>
      </c>
      <c r="D60" s="528">
        <v>44609</v>
      </c>
      <c r="E60" s="278" t="s">
        <v>2086</v>
      </c>
    </row>
    <row r="61" spans="1:5">
      <c r="A61" s="278" t="s">
        <v>1611</v>
      </c>
      <c r="B61" s="528">
        <v>44601</v>
      </c>
      <c r="C61" s="278" t="s">
        <v>2131</v>
      </c>
      <c r="D61" s="528">
        <v>44606</v>
      </c>
      <c r="E61" s="278" t="s">
        <v>2132</v>
      </c>
    </row>
    <row r="62" spans="1:5">
      <c r="A62" s="278" t="s">
        <v>1611</v>
      </c>
      <c r="B62" s="528">
        <v>44601</v>
      </c>
      <c r="C62" s="278" t="s">
        <v>2133</v>
      </c>
      <c r="D62" s="528">
        <v>44606</v>
      </c>
      <c r="E62" s="278" t="s">
        <v>2132</v>
      </c>
    </row>
    <row r="63" spans="1:5">
      <c r="A63" s="278" t="s">
        <v>1611</v>
      </c>
      <c r="B63" s="528">
        <v>44602</v>
      </c>
      <c r="C63" s="278" t="s">
        <v>2134</v>
      </c>
      <c r="D63" s="528">
        <v>44603</v>
      </c>
      <c r="E63" s="278" t="s">
        <v>2135</v>
      </c>
    </row>
    <row r="64" spans="1:5">
      <c r="A64" s="278" t="s">
        <v>2089</v>
      </c>
      <c r="B64" s="528">
        <v>44602</v>
      </c>
      <c r="C64" s="278" t="s">
        <v>2136</v>
      </c>
      <c r="D64" s="528">
        <v>44606</v>
      </c>
      <c r="E64" s="278" t="s">
        <v>2137</v>
      </c>
    </row>
    <row r="65" spans="1:5">
      <c r="A65" s="278" t="s">
        <v>1148</v>
      </c>
      <c r="B65" s="528">
        <v>44602</v>
      </c>
      <c r="C65" s="278" t="s">
        <v>2138</v>
      </c>
      <c r="D65" s="528">
        <v>44609</v>
      </c>
      <c r="E65" s="278" t="s">
        <v>2086</v>
      </c>
    </row>
    <row r="66" spans="1:5">
      <c r="A66" s="278" t="s">
        <v>568</v>
      </c>
      <c r="B66" s="528">
        <v>44607</v>
      </c>
      <c r="C66" s="278" t="s">
        <v>2139</v>
      </c>
      <c r="D66" s="528">
        <v>44609</v>
      </c>
      <c r="E66" s="278" t="s">
        <v>2086</v>
      </c>
    </row>
    <row r="67" spans="1:5">
      <c r="A67" s="278" t="s">
        <v>2113</v>
      </c>
      <c r="B67" s="528">
        <v>44608</v>
      </c>
      <c r="C67" s="278" t="s">
        <v>2140</v>
      </c>
      <c r="D67" s="528">
        <v>44608</v>
      </c>
      <c r="E67" s="278" t="s">
        <v>2141</v>
      </c>
    </row>
    <row r="68" spans="1:5">
      <c r="A68" s="278" t="s">
        <v>1611</v>
      </c>
      <c r="B68" s="528">
        <v>44608</v>
      </c>
      <c r="C68" s="278" t="s">
        <v>2142</v>
      </c>
      <c r="D68" s="528">
        <v>44609</v>
      </c>
      <c r="E68" s="278" t="s">
        <v>2143</v>
      </c>
    </row>
    <row r="71" spans="1:5">
      <c r="A71" s="278" t="s">
        <v>2144</v>
      </c>
    </row>
    <row r="72" spans="1:5">
      <c r="A72" s="278" t="s">
        <v>2145</v>
      </c>
      <c r="B72" s="528">
        <v>44642</v>
      </c>
      <c r="C72" s="278" t="s">
        <v>2146</v>
      </c>
    </row>
    <row r="73" spans="1:5">
      <c r="A73" s="278" t="s">
        <v>1079</v>
      </c>
      <c r="B73" s="528">
        <v>44642</v>
      </c>
      <c r="C73" s="278" t="s">
        <v>2147</v>
      </c>
    </row>
    <row r="74" spans="1:5">
      <c r="A74" s="278" t="s">
        <v>1079</v>
      </c>
      <c r="B74" s="528">
        <v>44642</v>
      </c>
      <c r="C74" s="278" t="s">
        <v>2148</v>
      </c>
    </row>
    <row r="75" spans="1:5">
      <c r="A75" s="278" t="s">
        <v>1611</v>
      </c>
      <c r="B75" s="528">
        <v>44643</v>
      </c>
      <c r="C75" s="278" t="s">
        <v>2149</v>
      </c>
    </row>
    <row r="76" spans="1:5">
      <c r="A76" s="278" t="s">
        <v>2150</v>
      </c>
      <c r="B76" s="528">
        <v>44645</v>
      </c>
      <c r="C76" s="278" t="s">
        <v>2151</v>
      </c>
    </row>
    <row r="77" spans="1:5">
      <c r="A77" s="278" t="s">
        <v>1611</v>
      </c>
      <c r="B77" s="528">
        <v>44649</v>
      </c>
      <c r="C77" s="278" t="s">
        <v>2152</v>
      </c>
    </row>
    <row r="78" spans="1:5">
      <c r="A78" s="278" t="s">
        <v>568</v>
      </c>
      <c r="B78" s="528">
        <v>44664</v>
      </c>
      <c r="C78" s="278" t="s">
        <v>2153</v>
      </c>
    </row>
    <row r="81" spans="1:3">
      <c r="A81" s="278" t="s">
        <v>2154</v>
      </c>
    </row>
    <row r="82" spans="1:3">
      <c r="A82" s="278" t="s">
        <v>2155</v>
      </c>
      <c r="B82" s="528">
        <v>44799</v>
      </c>
      <c r="C82" s="278" t="s">
        <v>2156</v>
      </c>
    </row>
    <row r="83" spans="1:3">
      <c r="A83" s="278" t="s">
        <v>1148</v>
      </c>
      <c r="B83" s="528">
        <v>44799</v>
      </c>
      <c r="C83" s="278" t="s">
        <v>2157</v>
      </c>
    </row>
    <row r="84" spans="1:3">
      <c r="A84" s="278" t="s">
        <v>2158</v>
      </c>
      <c r="B84" s="528">
        <v>44806</v>
      </c>
      <c r="C84" s="278" t="s">
        <v>2159</v>
      </c>
    </row>
    <row r="87" spans="1:3">
      <c r="A87" s="278" t="s">
        <v>2160</v>
      </c>
    </row>
    <row r="88" spans="1:3">
      <c r="A88" s="278" t="s">
        <v>1612</v>
      </c>
      <c r="B88" s="528">
        <v>44883</v>
      </c>
      <c r="C88" s="278" t="s">
        <v>2161</v>
      </c>
    </row>
    <row r="89" spans="1:3">
      <c r="A89" s="278" t="s">
        <v>2158</v>
      </c>
      <c r="B89" s="528">
        <v>44883</v>
      </c>
      <c r="C89" s="278" t="s">
        <v>2162</v>
      </c>
    </row>
    <row r="90" spans="1:3">
      <c r="A90" s="278" t="s">
        <v>2163</v>
      </c>
      <c r="B90" s="528">
        <v>44894</v>
      </c>
      <c r="C90" s="278" t="s">
        <v>2164</v>
      </c>
    </row>
    <row r="91" spans="1:3">
      <c r="A91" s="278" t="s">
        <v>2158</v>
      </c>
      <c r="B91" s="528">
        <v>44896</v>
      </c>
      <c r="C91" s="278" t="s">
        <v>2165</v>
      </c>
    </row>
    <row r="92" spans="1:3">
      <c r="A92" s="278" t="s">
        <v>2158</v>
      </c>
      <c r="B92" s="528">
        <v>44909</v>
      </c>
      <c r="C92" s="278" t="s">
        <v>2166</v>
      </c>
    </row>
    <row r="95" spans="1:3">
      <c r="A95" s="278" t="s">
        <v>2167</v>
      </c>
    </row>
    <row r="96" spans="1:3">
      <c r="A96" s="278" t="s">
        <v>1612</v>
      </c>
      <c r="B96" s="528">
        <v>44992</v>
      </c>
      <c r="C96" s="278" t="s">
        <v>2168</v>
      </c>
    </row>
    <row r="97" spans="1:3">
      <c r="A97" s="278" t="s">
        <v>1612</v>
      </c>
      <c r="B97" s="528">
        <v>44992</v>
      </c>
      <c r="C97" s="278" t="s">
        <v>2169</v>
      </c>
    </row>
    <row r="98" spans="1:3">
      <c r="A98" s="278" t="s">
        <v>1612</v>
      </c>
      <c r="B98" s="528">
        <v>45014</v>
      </c>
      <c r="C98" s="278" t="s">
        <v>2170</v>
      </c>
    </row>
    <row r="101" spans="1:3">
      <c r="A101" s="278" t="s">
        <v>2171</v>
      </c>
    </row>
    <row r="102" spans="1:3">
      <c r="A102" s="278" t="s">
        <v>1148</v>
      </c>
      <c r="B102" s="528">
        <v>45021</v>
      </c>
      <c r="C102" s="278" t="s">
        <v>2172</v>
      </c>
    </row>
    <row r="104" spans="1:3">
      <c r="A104" s="278" t="s">
        <v>2173</v>
      </c>
    </row>
    <row r="105" spans="1:3">
      <c r="A105" s="278" t="s">
        <v>2174</v>
      </c>
      <c r="B105" s="528">
        <v>45029</v>
      </c>
      <c r="C105" s="278" t="s">
        <v>2175</v>
      </c>
    </row>
    <row r="107" spans="1:3">
      <c r="A107" s="278" t="s">
        <v>2176</v>
      </c>
    </row>
    <row r="108" spans="1:3">
      <c r="A108" s="278" t="s">
        <v>2054</v>
      </c>
      <c r="B108" s="528">
        <v>45040</v>
      </c>
      <c r="C108" s="278" t="s">
        <v>2177</v>
      </c>
    </row>
    <row r="110" spans="1:3">
      <c r="A110" s="278" t="s">
        <v>2178</v>
      </c>
    </row>
    <row r="111" spans="1:3">
      <c r="A111" s="278" t="s">
        <v>2155</v>
      </c>
      <c r="B111" s="528">
        <v>45044</v>
      </c>
      <c r="C111" s="278" t="s">
        <v>2179</v>
      </c>
    </row>
    <row r="112" spans="1:3">
      <c r="A112" s="278" t="s">
        <v>2155</v>
      </c>
      <c r="B112" s="528">
        <v>45044</v>
      </c>
      <c r="C112" s="278" t="s">
        <v>2180</v>
      </c>
    </row>
    <row r="114" spans="1:3">
      <c r="A114" s="278" t="s">
        <v>4</v>
      </c>
    </row>
    <row r="115" spans="1:3">
      <c r="A115" s="278" t="s">
        <v>2181</v>
      </c>
      <c r="B115" s="528">
        <v>45240</v>
      </c>
      <c r="C115" s="278" t="s">
        <v>2182</v>
      </c>
    </row>
    <row r="116" spans="1:3">
      <c r="B116" s="528"/>
    </row>
  </sheetData>
  <hyperlinks>
    <hyperlink ref="F18" r:id="rId1" xr:uid="{859974F7-687D-4340-B61A-ADD4E28FA3D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5DA48-6325-4149-9C9C-BF360EE89C1C}">
  <sheetPr codeName="Sheet10"/>
  <dimension ref="A1:IM6"/>
  <sheetViews>
    <sheetView zoomScale="70" zoomScaleNormal="70" workbookViewId="0">
      <pane ySplit="3" topLeftCell="A4" activePane="bottomLeft" state="frozen"/>
      <selection pane="bottomLeft" activeCell="N4" sqref="N4"/>
      <selection activeCell="E12" sqref="E12"/>
    </sheetView>
  </sheetViews>
  <sheetFormatPr defaultColWidth="9.28515625" defaultRowHeight="16.5" customHeight="1"/>
  <cols>
    <col min="1" max="1" width="19.28515625" style="36" customWidth="1"/>
    <col min="2" max="2" width="14" style="36" customWidth="1"/>
    <col min="3" max="3" width="15.7109375" style="36" customWidth="1"/>
    <col min="4" max="4" width="11" style="36" customWidth="1"/>
    <col min="5" max="5" width="9.28515625" style="70"/>
    <col min="6" max="6" width="11" style="36" customWidth="1"/>
    <col min="7" max="7" width="18.5703125" style="36" customWidth="1"/>
    <col min="8" max="10" width="12.28515625" style="36" customWidth="1"/>
    <col min="11" max="20" width="13.28515625" style="36" customWidth="1"/>
    <col min="21" max="21" width="11.85546875" style="36" customWidth="1"/>
    <col min="22" max="22" width="22.28515625" style="36" customWidth="1"/>
    <col min="23" max="23" width="17.7109375" style="36" customWidth="1"/>
    <col min="24" max="24" width="13.28515625" style="36" customWidth="1"/>
    <col min="25" max="25" width="12" style="36" customWidth="1"/>
    <col min="26" max="27" width="9.28515625" style="70"/>
    <col min="28" max="28" width="13.28515625" style="70" customWidth="1"/>
    <col min="29" max="29" width="13.7109375" style="70" customWidth="1"/>
    <col min="30" max="32" width="9.28515625" style="70"/>
    <col min="33" max="38" width="9.28515625" style="36" customWidth="1"/>
    <col min="39" max="39" width="9.28515625" style="49" customWidth="1"/>
    <col min="40" max="47" width="10.28515625" style="36" customWidth="1"/>
    <col min="48" max="50" width="9.28515625" style="36"/>
    <col min="51" max="55" width="9.28515625" style="70"/>
    <col min="56" max="57" width="9.28515625" style="36" customWidth="1"/>
    <col min="58" max="58" width="10.85546875" style="36" customWidth="1"/>
    <col min="59" max="63" width="9.28515625" style="36" customWidth="1"/>
    <col min="64" max="65" width="9.28515625" style="70"/>
    <col min="66" max="68" width="12.28515625" style="36" customWidth="1"/>
    <col min="69" max="69" width="9.28515625" style="36" customWidth="1"/>
    <col min="70" max="71" width="9.28515625" style="70"/>
    <col min="72" max="72" width="10.85546875" style="36" customWidth="1"/>
    <col min="73" max="73" width="12.28515625" style="36" customWidth="1"/>
    <col min="74" max="75" width="9.28515625" style="70"/>
    <col min="76" max="76" width="9.28515625" style="36" customWidth="1"/>
    <col min="77" max="98" width="12.7109375" style="36" customWidth="1"/>
    <col min="99" max="147" width="12.7109375" style="70" customWidth="1"/>
    <col min="148" max="151" width="12.7109375" style="36" customWidth="1"/>
    <col min="152" max="165" width="12.7109375" style="70" customWidth="1"/>
    <col min="166" max="223" width="12.7109375" style="36" customWidth="1"/>
    <col min="224" max="231" width="9.7109375" style="36" customWidth="1"/>
    <col min="232" max="233" width="9.28515625" style="70"/>
    <col min="234" max="238" width="9.7109375" style="36" customWidth="1"/>
    <col min="239" max="241" width="9.28515625" style="70"/>
    <col min="242" max="260" width="9.7109375" style="36" customWidth="1"/>
    <col min="261" max="261" width="10.28515625" style="36" customWidth="1"/>
    <col min="262" max="263" width="10.7109375" style="36" customWidth="1"/>
    <col min="264" max="264" width="10.28515625" style="36" customWidth="1"/>
    <col min="265" max="265" width="10.7109375" style="36" customWidth="1"/>
    <col min="266" max="266" width="9.28515625" style="36"/>
    <col min="267" max="267" width="12.7109375" style="36" customWidth="1"/>
    <col min="268" max="311" width="9.7109375" style="36" customWidth="1"/>
    <col min="312" max="314" width="9.28515625" style="36" bestFit="1" customWidth="1"/>
    <col min="315" max="16384" width="9.28515625" style="36"/>
  </cols>
  <sheetData>
    <row r="1" spans="1:247" ht="16.5" customHeight="1">
      <c r="A1" s="201" t="s">
        <v>94</v>
      </c>
      <c r="B1" s="196"/>
      <c r="C1" s="268"/>
      <c r="D1" s="201" t="s">
        <v>95</v>
      </c>
      <c r="E1" s="268"/>
      <c r="F1" s="268"/>
      <c r="G1" s="269"/>
      <c r="H1" s="210" t="s">
        <v>96</v>
      </c>
      <c r="I1" s="270"/>
      <c r="J1" s="271"/>
      <c r="K1" s="204" t="s">
        <v>97</v>
      </c>
      <c r="L1" s="205"/>
      <c r="M1" s="205"/>
      <c r="N1" s="205"/>
      <c r="O1" s="205"/>
      <c r="P1" s="205"/>
      <c r="Q1" s="205"/>
      <c r="R1" s="205"/>
      <c r="S1" s="205"/>
      <c r="T1" s="258"/>
      <c r="U1" s="206"/>
      <c r="V1" s="203"/>
      <c r="W1" s="121" t="s">
        <v>98</v>
      </c>
      <c r="X1" s="122"/>
      <c r="Y1" s="123"/>
      <c r="Z1" s="124"/>
      <c r="AA1" s="121" t="s">
        <v>99</v>
      </c>
      <c r="AB1" s="125"/>
      <c r="AC1" s="265" t="s">
        <v>100</v>
      </c>
      <c r="AD1" s="94"/>
      <c r="AE1" s="94"/>
      <c r="AF1" s="94"/>
      <c r="AG1" s="265" t="s">
        <v>101</v>
      </c>
      <c r="AH1" s="265"/>
      <c r="AI1" s="265"/>
      <c r="AJ1" s="118" t="s">
        <v>102</v>
      </c>
      <c r="AK1" s="117"/>
      <c r="AL1" s="117"/>
      <c r="AM1" s="118" t="s">
        <v>103</v>
      </c>
      <c r="AN1" s="117"/>
      <c r="AO1" s="117"/>
      <c r="AP1" s="117"/>
      <c r="AQ1" s="116"/>
      <c r="AR1" s="118" t="s">
        <v>104</v>
      </c>
      <c r="AS1" s="117"/>
      <c r="AT1" s="117"/>
      <c r="AU1" s="117"/>
      <c r="AV1" s="117"/>
      <c r="AW1" s="116"/>
      <c r="AX1" s="118" t="s">
        <v>105</v>
      </c>
      <c r="AY1" s="117"/>
      <c r="AZ1" s="117"/>
      <c r="BA1" s="117"/>
      <c r="BB1" s="117"/>
      <c r="BC1" s="117"/>
      <c r="BD1" s="117"/>
      <c r="BE1" s="117"/>
      <c r="BF1" s="117"/>
      <c r="BG1" s="117"/>
      <c r="BH1" s="117"/>
      <c r="BI1" s="117"/>
      <c r="BJ1" s="117"/>
      <c r="BK1" s="117"/>
      <c r="BL1" s="117"/>
      <c r="BM1" s="117"/>
      <c r="BN1" s="174"/>
      <c r="BO1" s="174"/>
      <c r="BP1" s="174"/>
      <c r="BQ1" s="174"/>
      <c r="BR1" s="174"/>
      <c r="BS1" s="290" t="s">
        <v>106</v>
      </c>
      <c r="BT1" s="174"/>
      <c r="BU1" s="291"/>
      <c r="BV1" s="174"/>
      <c r="BW1" s="174"/>
      <c r="BX1" s="174"/>
      <c r="BY1" s="174"/>
      <c r="BZ1" s="174"/>
      <c r="CA1" s="292"/>
      <c r="CB1" s="118" t="s">
        <v>107</v>
      </c>
      <c r="CC1" s="117"/>
      <c r="CD1" s="117"/>
      <c r="CE1" s="117"/>
      <c r="CF1" s="117"/>
      <c r="CG1" s="117"/>
      <c r="CH1" s="117"/>
      <c r="CI1" s="117"/>
      <c r="CJ1" s="117"/>
      <c r="CK1" s="116"/>
      <c r="CL1" s="118" t="s">
        <v>108</v>
      </c>
      <c r="CM1" s="119"/>
      <c r="CN1" s="118" t="s">
        <v>109</v>
      </c>
      <c r="CO1" s="117"/>
      <c r="CP1" s="117"/>
      <c r="CQ1" s="117"/>
      <c r="CR1" s="117"/>
      <c r="CS1" s="117"/>
      <c r="CT1" s="117"/>
      <c r="CU1" s="117"/>
      <c r="CV1" s="117"/>
      <c r="CW1" s="117"/>
      <c r="CX1" s="117"/>
      <c r="CY1" s="116"/>
      <c r="CZ1" s="174"/>
      <c r="DA1" s="174"/>
      <c r="DB1" s="174"/>
      <c r="DC1" s="174"/>
      <c r="DD1" s="174"/>
      <c r="DE1" s="174"/>
      <c r="DF1" s="174"/>
      <c r="DG1" s="174"/>
      <c r="DH1" s="174"/>
      <c r="DI1" s="174"/>
      <c r="DJ1" s="292"/>
      <c r="DK1" s="174"/>
      <c r="DL1" s="354"/>
      <c r="DM1" s="174"/>
      <c r="DN1" s="174"/>
      <c r="DO1" s="174"/>
      <c r="DP1" s="174"/>
      <c r="DQ1" s="174"/>
      <c r="DR1" s="174"/>
      <c r="DS1" s="174"/>
      <c r="DT1" s="174"/>
      <c r="DU1" s="174"/>
      <c r="DV1" s="292"/>
      <c r="DW1" s="174"/>
      <c r="DX1" s="264"/>
      <c r="DY1" s="117"/>
      <c r="DZ1" s="117"/>
      <c r="EA1" s="117"/>
      <c r="EB1" s="117"/>
      <c r="EC1" s="117"/>
      <c r="ED1" s="117"/>
      <c r="EE1" s="117"/>
      <c r="EF1" s="117"/>
      <c r="EG1" s="117"/>
      <c r="EH1" s="116"/>
      <c r="EI1" s="174"/>
      <c r="EJ1" s="354"/>
      <c r="EK1" s="174"/>
      <c r="EL1" s="174"/>
      <c r="EM1" s="174"/>
      <c r="EN1" s="174"/>
      <c r="EO1" s="174"/>
      <c r="EP1" s="174"/>
      <c r="EQ1" s="174"/>
      <c r="ER1" s="174"/>
      <c r="ES1" s="174"/>
      <c r="ET1" s="292"/>
      <c r="EU1" s="174"/>
      <c r="EV1" s="354"/>
      <c r="EW1" s="174"/>
      <c r="EX1" s="174"/>
      <c r="EY1" s="174"/>
      <c r="EZ1" s="174"/>
      <c r="FA1" s="174"/>
      <c r="FB1" s="174"/>
      <c r="FC1" s="174"/>
      <c r="FD1" s="174"/>
      <c r="FE1" s="174"/>
      <c r="FF1" s="292"/>
      <c r="FG1" s="174"/>
      <c r="FH1" s="264"/>
      <c r="FI1" s="117"/>
      <c r="FJ1" s="117"/>
      <c r="FK1" s="117"/>
      <c r="FL1" s="117"/>
      <c r="FM1" s="117"/>
      <c r="FN1" s="117"/>
      <c r="FO1" s="117"/>
      <c r="FP1" s="117"/>
      <c r="FQ1" s="117"/>
      <c r="FR1" s="116"/>
      <c r="FS1" s="116"/>
      <c r="FT1" s="263"/>
      <c r="FU1" s="119"/>
      <c r="FV1" s="119"/>
      <c r="FW1" s="119"/>
      <c r="FX1" s="119"/>
      <c r="FY1" s="119"/>
      <c r="FZ1" s="119"/>
      <c r="GA1" s="119"/>
      <c r="GB1" s="119"/>
      <c r="GC1" s="119"/>
      <c r="GD1" s="120"/>
      <c r="GE1" s="120"/>
      <c r="GF1" s="290"/>
      <c r="GG1" s="208"/>
      <c r="GH1" s="208"/>
      <c r="GI1" s="208"/>
      <c r="GJ1" s="208"/>
      <c r="GK1" s="208"/>
      <c r="GL1" s="208"/>
      <c r="GM1" s="208"/>
      <c r="GN1" s="208"/>
      <c r="GO1" s="208"/>
      <c r="GP1" s="316"/>
      <c r="GQ1" s="208"/>
      <c r="GR1" s="290"/>
      <c r="GS1" s="208"/>
      <c r="GT1" s="208"/>
      <c r="GU1" s="208"/>
      <c r="GV1" s="208"/>
      <c r="GW1" s="208"/>
      <c r="GX1" s="208"/>
      <c r="GY1" s="208"/>
      <c r="GZ1" s="208"/>
      <c r="HA1" s="208"/>
      <c r="HB1" s="316"/>
      <c r="HC1" s="208"/>
      <c r="HD1" s="118" t="s">
        <v>110</v>
      </c>
      <c r="HE1" s="117"/>
      <c r="HF1" s="117"/>
      <c r="HG1" s="117"/>
      <c r="HH1" s="117"/>
      <c r="HI1" s="117"/>
      <c r="HJ1" s="117"/>
      <c r="HK1" s="117"/>
      <c r="HL1" s="117"/>
      <c r="HM1" s="117"/>
      <c r="HN1" s="116"/>
      <c r="HO1" s="174"/>
      <c r="HP1" s="290" t="s">
        <v>111</v>
      </c>
      <c r="HQ1" s="208"/>
      <c r="HR1" s="315"/>
      <c r="HS1" s="208"/>
      <c r="HT1" s="208"/>
      <c r="HU1" s="208"/>
      <c r="HV1" s="316"/>
      <c r="HW1" s="208"/>
      <c r="HX1" s="208"/>
      <c r="HY1" s="174"/>
      <c r="HZ1" s="174"/>
      <c r="IA1" s="174"/>
      <c r="IB1" s="174"/>
      <c r="IC1" s="292"/>
      <c r="ID1" s="118" t="s">
        <v>112</v>
      </c>
      <c r="IE1" s="117"/>
      <c r="IF1" s="117"/>
      <c r="IG1" s="116"/>
      <c r="IH1" s="117"/>
      <c r="II1" s="117"/>
      <c r="IJ1" s="117"/>
      <c r="IK1" s="117"/>
      <c r="IL1" s="117"/>
      <c r="IM1" s="116"/>
    </row>
    <row r="2" spans="1:247" ht="80.45" customHeight="1">
      <c r="C2" s="253" t="s">
        <v>113</v>
      </c>
      <c r="D2" s="253" t="s">
        <v>25</v>
      </c>
      <c r="E2" s="267" t="s">
        <v>114</v>
      </c>
      <c r="F2" s="253" t="s">
        <v>26</v>
      </c>
      <c r="G2" s="253" t="s">
        <v>115</v>
      </c>
      <c r="H2" s="253" t="s">
        <v>116</v>
      </c>
      <c r="I2" s="253" t="s">
        <v>117</v>
      </c>
      <c r="J2" s="298" t="s">
        <v>118</v>
      </c>
      <c r="R2" s="44"/>
      <c r="S2" s="44"/>
      <c r="T2" s="44"/>
      <c r="W2" s="253" t="s">
        <v>60</v>
      </c>
      <c r="X2" s="253" t="s">
        <v>61</v>
      </c>
      <c r="Y2" s="253" t="s">
        <v>62</v>
      </c>
      <c r="Z2" s="253" t="s">
        <v>119</v>
      </c>
      <c r="AA2" s="185" t="s">
        <v>120</v>
      </c>
      <c r="AB2" s="254" t="s">
        <v>121</v>
      </c>
      <c r="AC2" s="236" t="s">
        <v>122</v>
      </c>
      <c r="AD2" s="237" t="s">
        <v>123</v>
      </c>
      <c r="AE2" s="237" t="s">
        <v>124</v>
      </c>
      <c r="AF2" s="238" t="s">
        <v>125</v>
      </c>
      <c r="AG2" s="250" t="s">
        <v>126</v>
      </c>
      <c r="AH2" s="230" t="s">
        <v>127</v>
      </c>
      <c r="AI2" s="230" t="s">
        <v>128</v>
      </c>
      <c r="AJ2" s="250" t="s">
        <v>126</v>
      </c>
      <c r="AK2" s="230" t="s">
        <v>127</v>
      </c>
      <c r="AL2" s="230" t="s">
        <v>128</v>
      </c>
      <c r="AM2" s="250" t="s">
        <v>129</v>
      </c>
      <c r="AN2" s="230" t="s">
        <v>130</v>
      </c>
      <c r="AO2" s="230" t="s">
        <v>131</v>
      </c>
      <c r="AP2" s="230" t="s">
        <v>132</v>
      </c>
      <c r="AQ2" s="231" t="s">
        <v>133</v>
      </c>
      <c r="AR2" s="250" t="s">
        <v>134</v>
      </c>
      <c r="AS2" s="230" t="s">
        <v>135</v>
      </c>
      <c r="AT2" s="230" t="s">
        <v>136</v>
      </c>
      <c r="AU2" s="230" t="s">
        <v>137</v>
      </c>
      <c r="AV2" s="230" t="s">
        <v>138</v>
      </c>
      <c r="AW2" s="231" t="s">
        <v>139</v>
      </c>
      <c r="AX2" s="224" t="s">
        <v>140</v>
      </c>
      <c r="AY2" s="225" t="s">
        <v>141</v>
      </c>
      <c r="AZ2" s="225" t="s">
        <v>142</v>
      </c>
      <c r="BA2" s="225" t="s">
        <v>143</v>
      </c>
      <c r="BB2" s="225"/>
      <c r="BC2" s="225"/>
      <c r="BD2" s="225" t="s">
        <v>144</v>
      </c>
      <c r="BE2" s="225"/>
      <c r="BF2" s="225" t="s">
        <v>145</v>
      </c>
      <c r="BG2" s="225" t="s">
        <v>146</v>
      </c>
      <c r="BH2" s="225" t="s">
        <v>147</v>
      </c>
      <c r="BI2" s="225" t="s">
        <v>148</v>
      </c>
      <c r="BJ2" s="225" t="s">
        <v>149</v>
      </c>
      <c r="BK2" s="225" t="s">
        <v>150</v>
      </c>
      <c r="BL2" s="225" t="s">
        <v>151</v>
      </c>
      <c r="BM2" s="225" t="s">
        <v>152</v>
      </c>
      <c r="BN2" s="225"/>
      <c r="BO2" s="187"/>
      <c r="BP2" s="175"/>
      <c r="BQ2" s="175" t="s">
        <v>153</v>
      </c>
      <c r="BR2" s="175" t="s">
        <v>154</v>
      </c>
      <c r="BS2" s="175" t="s">
        <v>155</v>
      </c>
      <c r="BT2" s="175"/>
      <c r="BU2" s="175"/>
      <c r="BV2" s="175"/>
      <c r="BW2" s="175"/>
      <c r="BX2" s="175"/>
      <c r="BY2" s="175"/>
      <c r="BZ2" s="175"/>
      <c r="CA2" s="176"/>
      <c r="CB2" s="154" t="s">
        <v>156</v>
      </c>
      <c r="CC2" s="154" t="s">
        <v>157</v>
      </c>
      <c r="CD2" s="154" t="s">
        <v>158</v>
      </c>
      <c r="CE2" s="154" t="s">
        <v>159</v>
      </c>
      <c r="CF2" s="154"/>
      <c r="CG2" s="154" t="s">
        <v>160</v>
      </c>
      <c r="CH2" s="154" t="s">
        <v>161</v>
      </c>
      <c r="CI2" s="154" t="s">
        <v>162</v>
      </c>
      <c r="CJ2" s="154" t="s">
        <v>163</v>
      </c>
      <c r="CK2" s="154" t="s">
        <v>164</v>
      </c>
      <c r="CL2" s="187" t="s">
        <v>165</v>
      </c>
      <c r="CM2" s="175" t="s">
        <v>166</v>
      </c>
      <c r="CN2" s="369" t="s">
        <v>167</v>
      </c>
      <c r="CO2" s="154" t="s">
        <v>168</v>
      </c>
      <c r="CP2" s="154" t="s">
        <v>169</v>
      </c>
      <c r="CQ2" s="154" t="s">
        <v>170</v>
      </c>
      <c r="CR2" s="154" t="s">
        <v>171</v>
      </c>
      <c r="CS2" s="154" t="s">
        <v>172</v>
      </c>
      <c r="CT2" s="154" t="s">
        <v>173</v>
      </c>
      <c r="CU2" s="154" t="s">
        <v>174</v>
      </c>
      <c r="CV2" s="154" t="s">
        <v>175</v>
      </c>
      <c r="CW2" s="154" t="s">
        <v>176</v>
      </c>
      <c r="CX2" s="154" t="s">
        <v>177</v>
      </c>
      <c r="CY2" s="154" t="s">
        <v>178</v>
      </c>
      <c r="CZ2" s="232" t="s">
        <v>179</v>
      </c>
      <c r="DA2" s="233" t="s">
        <v>180</v>
      </c>
      <c r="DB2" s="233" t="s">
        <v>181</v>
      </c>
      <c r="DC2" s="233" t="s">
        <v>182</v>
      </c>
      <c r="DD2" s="233" t="s">
        <v>183</v>
      </c>
      <c r="DE2" s="233" t="s">
        <v>184</v>
      </c>
      <c r="DF2" s="233" t="s">
        <v>185</v>
      </c>
      <c r="DG2" s="233" t="s">
        <v>186</v>
      </c>
      <c r="DH2" s="233" t="s">
        <v>187</v>
      </c>
      <c r="DI2" s="233" t="s">
        <v>188</v>
      </c>
      <c r="DJ2" s="233" t="s">
        <v>189</v>
      </c>
      <c r="DK2" s="233" t="s">
        <v>190</v>
      </c>
      <c r="DL2" s="232" t="s">
        <v>191</v>
      </c>
      <c r="DM2" s="233" t="s">
        <v>192</v>
      </c>
      <c r="DN2" s="233" t="s">
        <v>193</v>
      </c>
      <c r="DO2" s="233" t="s">
        <v>194</v>
      </c>
      <c r="DP2" s="233" t="s">
        <v>195</v>
      </c>
      <c r="DQ2" s="233" t="s">
        <v>196</v>
      </c>
      <c r="DR2" s="233" t="s">
        <v>197</v>
      </c>
      <c r="DS2" s="233" t="s">
        <v>198</v>
      </c>
      <c r="DT2" s="233" t="s">
        <v>199</v>
      </c>
      <c r="DU2" s="233" t="s">
        <v>200</v>
      </c>
      <c r="DV2" s="233" t="s">
        <v>201</v>
      </c>
      <c r="DW2" s="234" t="s">
        <v>202</v>
      </c>
      <c r="DX2" s="233" t="s">
        <v>203</v>
      </c>
      <c r="DY2" s="233" t="s">
        <v>204</v>
      </c>
      <c r="DZ2" s="233" t="s">
        <v>205</v>
      </c>
      <c r="EA2" s="233" t="s">
        <v>206</v>
      </c>
      <c r="EB2" s="233" t="s">
        <v>207</v>
      </c>
      <c r="EC2" s="233" t="s">
        <v>208</v>
      </c>
      <c r="ED2" s="233" t="s">
        <v>209</v>
      </c>
      <c r="EE2" s="233" t="s">
        <v>210</v>
      </c>
      <c r="EF2" s="233" t="s">
        <v>211</v>
      </c>
      <c r="EG2" s="233" t="s">
        <v>212</v>
      </c>
      <c r="EH2" s="233" t="s">
        <v>213</v>
      </c>
      <c r="EI2" s="233" t="s">
        <v>214</v>
      </c>
      <c r="EJ2" s="241" t="s">
        <v>215</v>
      </c>
      <c r="EK2" s="242" t="s">
        <v>216</v>
      </c>
      <c r="EL2" s="242" t="s">
        <v>217</v>
      </c>
      <c r="EM2" s="242" t="s">
        <v>218</v>
      </c>
      <c r="EN2" s="242" t="s">
        <v>219</v>
      </c>
      <c r="EO2" s="242" t="s">
        <v>220</v>
      </c>
      <c r="EP2" s="242" t="s">
        <v>221</v>
      </c>
      <c r="EQ2" s="242" t="s">
        <v>222</v>
      </c>
      <c r="ER2" s="242" t="s">
        <v>223</v>
      </c>
      <c r="ES2" s="242" t="s">
        <v>224</v>
      </c>
      <c r="ET2" s="242" t="s">
        <v>225</v>
      </c>
      <c r="EU2" s="243" t="s">
        <v>226</v>
      </c>
      <c r="EV2" s="233" t="s">
        <v>227</v>
      </c>
      <c r="EW2" s="233" t="s">
        <v>228</v>
      </c>
      <c r="EX2" s="233" t="s">
        <v>229</v>
      </c>
      <c r="EY2" s="233" t="s">
        <v>230</v>
      </c>
      <c r="EZ2" s="233" t="s">
        <v>231</v>
      </c>
      <c r="FA2" s="233" t="s">
        <v>232</v>
      </c>
      <c r="FB2" s="233" t="s">
        <v>233</v>
      </c>
      <c r="FC2" s="233" t="s">
        <v>234</v>
      </c>
      <c r="FD2" s="233" t="s">
        <v>235</v>
      </c>
      <c r="FE2" s="233" t="s">
        <v>236</v>
      </c>
      <c r="FF2" s="233" t="s">
        <v>237</v>
      </c>
      <c r="FG2" s="234" t="s">
        <v>238</v>
      </c>
      <c r="FH2" s="233" t="s">
        <v>239</v>
      </c>
      <c r="FI2" s="233" t="s">
        <v>240</v>
      </c>
      <c r="FJ2" s="233" t="s">
        <v>241</v>
      </c>
      <c r="FK2" s="233" t="s">
        <v>242</v>
      </c>
      <c r="FL2" s="233" t="s">
        <v>243</v>
      </c>
      <c r="FM2" s="233" t="s">
        <v>244</v>
      </c>
      <c r="FN2" s="233" t="s">
        <v>245</v>
      </c>
      <c r="FO2" s="233" t="s">
        <v>246</v>
      </c>
      <c r="FP2" s="233" t="s">
        <v>247</v>
      </c>
      <c r="FQ2" s="233" t="s">
        <v>248</v>
      </c>
      <c r="FR2" s="233" t="s">
        <v>249</v>
      </c>
      <c r="FS2" s="233" t="s">
        <v>250</v>
      </c>
      <c r="FT2" s="187" t="s">
        <v>251</v>
      </c>
      <c r="FU2" s="175" t="s">
        <v>252</v>
      </c>
      <c r="FV2" s="175" t="s">
        <v>253</v>
      </c>
      <c r="FW2" s="175" t="s">
        <v>254</v>
      </c>
      <c r="FX2" s="175" t="s">
        <v>255</v>
      </c>
      <c r="FY2" s="175" t="s">
        <v>256</v>
      </c>
      <c r="FZ2" s="175" t="s">
        <v>257</v>
      </c>
      <c r="GA2" s="175" t="s">
        <v>258</v>
      </c>
      <c r="GB2" s="175" t="s">
        <v>259</v>
      </c>
      <c r="GC2" s="175" t="s">
        <v>260</v>
      </c>
      <c r="GD2" s="175" t="s">
        <v>261</v>
      </c>
      <c r="GE2" s="175" t="s">
        <v>262</v>
      </c>
      <c r="GF2" s="187" t="s">
        <v>263</v>
      </c>
      <c r="GG2" s="175" t="s">
        <v>264</v>
      </c>
      <c r="GH2" s="175" t="s">
        <v>265</v>
      </c>
      <c r="GI2" s="175" t="s">
        <v>266</v>
      </c>
      <c r="GJ2" s="175" t="s">
        <v>267</v>
      </c>
      <c r="GK2" s="175" t="s">
        <v>268</v>
      </c>
      <c r="GL2" s="175" t="s">
        <v>269</v>
      </c>
      <c r="GM2" s="175" t="s">
        <v>270</v>
      </c>
      <c r="GN2" s="175" t="s">
        <v>271</v>
      </c>
      <c r="GO2" s="175" t="s">
        <v>272</v>
      </c>
      <c r="GP2" s="175" t="s">
        <v>273</v>
      </c>
      <c r="GQ2" s="175" t="s">
        <v>274</v>
      </c>
      <c r="GR2" s="187" t="s">
        <v>275</v>
      </c>
      <c r="GS2" s="175" t="s">
        <v>276</v>
      </c>
      <c r="GT2" s="175" t="s">
        <v>277</v>
      </c>
      <c r="GU2" s="175" t="s">
        <v>278</v>
      </c>
      <c r="GV2" s="175" t="s">
        <v>279</v>
      </c>
      <c r="GW2" s="175" t="s">
        <v>280</v>
      </c>
      <c r="GX2" s="175" t="s">
        <v>281</v>
      </c>
      <c r="GY2" s="175" t="s">
        <v>282</v>
      </c>
      <c r="GZ2" s="175" t="s">
        <v>283</v>
      </c>
      <c r="HA2" s="175" t="s">
        <v>284</v>
      </c>
      <c r="HB2" s="175" t="s">
        <v>285</v>
      </c>
      <c r="HC2" s="176" t="s">
        <v>286</v>
      </c>
      <c r="HD2" s="149" t="s">
        <v>287</v>
      </c>
      <c r="HE2" s="147" t="s">
        <v>288</v>
      </c>
      <c r="HF2" s="147" t="s">
        <v>289</v>
      </c>
      <c r="HG2" s="147" t="s">
        <v>290</v>
      </c>
      <c r="HH2" s="147" t="s">
        <v>291</v>
      </c>
      <c r="HI2" s="147" t="s">
        <v>292</v>
      </c>
      <c r="HJ2" s="147" t="s">
        <v>293</v>
      </c>
      <c r="HK2" s="147" t="s">
        <v>294</v>
      </c>
      <c r="HL2" s="147" t="s">
        <v>295</v>
      </c>
      <c r="HM2" s="147" t="s">
        <v>296</v>
      </c>
      <c r="HN2" s="147" t="s">
        <v>297</v>
      </c>
      <c r="HO2" s="148" t="s">
        <v>298</v>
      </c>
      <c r="HP2" s="224" t="s">
        <v>299</v>
      </c>
      <c r="HQ2" s="225" t="s">
        <v>300</v>
      </c>
      <c r="HR2" s="225" t="s">
        <v>301</v>
      </c>
      <c r="HS2" s="225" t="s">
        <v>302</v>
      </c>
      <c r="HT2" s="225"/>
      <c r="HU2" s="225" t="s">
        <v>303</v>
      </c>
      <c r="HV2" s="225" t="s">
        <v>304</v>
      </c>
      <c r="HW2" s="225"/>
      <c r="HX2" s="225" t="s">
        <v>305</v>
      </c>
      <c r="HY2" s="225" t="s">
        <v>306</v>
      </c>
      <c r="HZ2" s="225" t="s">
        <v>307</v>
      </c>
      <c r="IA2" s="225" t="s">
        <v>308</v>
      </c>
      <c r="IB2" s="225" t="s">
        <v>309</v>
      </c>
      <c r="IC2" s="226" t="s">
        <v>310</v>
      </c>
      <c r="ID2" s="175"/>
      <c r="IE2" s="175"/>
      <c r="IF2" s="175"/>
      <c r="IG2" s="176"/>
      <c r="IH2" s="175" t="s">
        <v>311</v>
      </c>
      <c r="II2" s="175" t="s">
        <v>312</v>
      </c>
      <c r="IJ2" s="175"/>
      <c r="IK2" s="175"/>
      <c r="IL2" s="175" t="s">
        <v>313</v>
      </c>
      <c r="IM2" s="176"/>
    </row>
    <row r="3" spans="1:247" ht="80.45" customHeight="1">
      <c r="A3" s="212" t="s">
        <v>314</v>
      </c>
      <c r="B3" s="188" t="s">
        <v>315</v>
      </c>
      <c r="C3" s="215" t="s">
        <v>113</v>
      </c>
      <c r="D3" s="150" t="s">
        <v>316</v>
      </c>
      <c r="E3" s="255" t="s">
        <v>317</v>
      </c>
      <c r="F3" s="255" t="s">
        <v>318</v>
      </c>
      <c r="G3" s="255" t="s">
        <v>319</v>
      </c>
      <c r="H3" s="255" t="s">
        <v>116</v>
      </c>
      <c r="I3" s="272" t="s">
        <v>117</v>
      </c>
      <c r="J3" s="256" t="s">
        <v>118</v>
      </c>
      <c r="K3" s="188" t="s">
        <v>34</v>
      </c>
      <c r="L3" s="188" t="s">
        <v>320</v>
      </c>
      <c r="M3" s="188" t="s">
        <v>35</v>
      </c>
      <c r="N3" s="188" t="s">
        <v>41</v>
      </c>
      <c r="O3" s="188" t="s">
        <v>43</v>
      </c>
      <c r="P3" s="188" t="s">
        <v>37</v>
      </c>
      <c r="Q3" s="188" t="s">
        <v>39</v>
      </c>
      <c r="R3" s="188" t="s">
        <v>47</v>
      </c>
      <c r="S3" s="188" t="s">
        <v>50</v>
      </c>
      <c r="T3" s="188" t="s">
        <v>53</v>
      </c>
      <c r="U3" s="188" t="s">
        <v>55</v>
      </c>
      <c r="V3" s="189" t="s">
        <v>57</v>
      </c>
      <c r="W3" s="215" t="s">
        <v>321</v>
      </c>
      <c r="X3" s="255" t="s">
        <v>322</v>
      </c>
      <c r="Y3" s="255" t="s">
        <v>323</v>
      </c>
      <c r="Z3" s="255" t="s">
        <v>324</v>
      </c>
      <c r="AA3" s="255" t="s">
        <v>325</v>
      </c>
      <c r="AB3" s="150" t="s">
        <v>326</v>
      </c>
      <c r="AC3" s="236" t="s">
        <v>327</v>
      </c>
      <c r="AD3" s="237" t="s">
        <v>328</v>
      </c>
      <c r="AE3" s="237" t="s">
        <v>124</v>
      </c>
      <c r="AF3" s="238" t="s">
        <v>125</v>
      </c>
      <c r="AG3" s="239" t="s">
        <v>329</v>
      </c>
      <c r="AH3" s="239" t="s">
        <v>330</v>
      </c>
      <c r="AI3" s="239" t="s">
        <v>331</v>
      </c>
      <c r="AJ3" s="257" t="s">
        <v>332</v>
      </c>
      <c r="AK3" s="239" t="s">
        <v>333</v>
      </c>
      <c r="AL3" s="239" t="s">
        <v>334</v>
      </c>
      <c r="AM3" s="257" t="s">
        <v>335</v>
      </c>
      <c r="AN3" s="239" t="s">
        <v>336</v>
      </c>
      <c r="AO3" s="239" t="s">
        <v>337</v>
      </c>
      <c r="AP3" s="239" t="s">
        <v>338</v>
      </c>
      <c r="AQ3" s="240" t="s">
        <v>339</v>
      </c>
      <c r="AR3" s="257" t="s">
        <v>340</v>
      </c>
      <c r="AS3" s="239" t="s">
        <v>341</v>
      </c>
      <c r="AT3" s="239" t="s">
        <v>342</v>
      </c>
      <c r="AU3" s="239" t="s">
        <v>343</v>
      </c>
      <c r="AV3" s="239" t="s">
        <v>344</v>
      </c>
      <c r="AW3" s="240" t="s">
        <v>345</v>
      </c>
      <c r="AX3" s="219" t="s">
        <v>140</v>
      </c>
      <c r="AY3" s="220" t="s">
        <v>141</v>
      </c>
      <c r="AZ3" s="220" t="s">
        <v>142</v>
      </c>
      <c r="BA3" s="220" t="s">
        <v>346</v>
      </c>
      <c r="BB3" s="220" t="s">
        <v>347</v>
      </c>
      <c r="BC3" s="220" t="s">
        <v>348</v>
      </c>
      <c r="BD3" s="220" t="s">
        <v>349</v>
      </c>
      <c r="BE3" s="220" t="s">
        <v>350</v>
      </c>
      <c r="BF3" s="220" t="s">
        <v>351</v>
      </c>
      <c r="BG3" s="220" t="s">
        <v>352</v>
      </c>
      <c r="BH3" s="266" t="s">
        <v>353</v>
      </c>
      <c r="BI3" s="266" t="s">
        <v>354</v>
      </c>
      <c r="BJ3" s="220" t="s">
        <v>355</v>
      </c>
      <c r="BK3" s="220" t="s">
        <v>150</v>
      </c>
      <c r="BL3" s="220" t="s">
        <v>151</v>
      </c>
      <c r="BM3" s="220" t="s">
        <v>356</v>
      </c>
      <c r="BN3" s="249" t="s">
        <v>357</v>
      </c>
      <c r="BO3" s="293" t="s">
        <v>358</v>
      </c>
      <c r="BP3" s="294" t="s">
        <v>359</v>
      </c>
      <c r="BQ3" s="294" t="s">
        <v>360</v>
      </c>
      <c r="BR3" s="294" t="s">
        <v>154</v>
      </c>
      <c r="BS3" s="294" t="s">
        <v>361</v>
      </c>
      <c r="BT3" s="294" t="s">
        <v>362</v>
      </c>
      <c r="BU3" s="294" t="s">
        <v>363</v>
      </c>
      <c r="BV3" s="294" t="s">
        <v>364</v>
      </c>
      <c r="BW3" s="294" t="s">
        <v>365</v>
      </c>
      <c r="BX3" s="294" t="s">
        <v>366</v>
      </c>
      <c r="BY3" s="294" t="s">
        <v>367</v>
      </c>
      <c r="BZ3" s="294" t="s">
        <v>368</v>
      </c>
      <c r="CA3" s="295" t="s">
        <v>369</v>
      </c>
      <c r="CB3" s="242" t="s">
        <v>370</v>
      </c>
      <c r="CC3" s="242" t="s">
        <v>371</v>
      </c>
      <c r="CD3" s="242" t="s">
        <v>372</v>
      </c>
      <c r="CE3" s="242" t="s">
        <v>373</v>
      </c>
      <c r="CF3" s="242" t="s">
        <v>374</v>
      </c>
      <c r="CG3" s="242" t="s">
        <v>375</v>
      </c>
      <c r="CH3" s="242" t="s">
        <v>376</v>
      </c>
      <c r="CI3" s="242" t="s">
        <v>377</v>
      </c>
      <c r="CJ3" s="242" t="s">
        <v>378</v>
      </c>
      <c r="CK3" s="242" t="s">
        <v>379</v>
      </c>
      <c r="CL3" s="144" t="s">
        <v>380</v>
      </c>
      <c r="CM3" s="145" t="s">
        <v>381</v>
      </c>
      <c r="CN3" s="241" t="s">
        <v>382</v>
      </c>
      <c r="CO3" s="242" t="s">
        <v>383</v>
      </c>
      <c r="CP3" s="242" t="s">
        <v>384</v>
      </c>
      <c r="CQ3" s="242" t="s">
        <v>385</v>
      </c>
      <c r="CR3" s="242" t="s">
        <v>386</v>
      </c>
      <c r="CS3" s="242" t="s">
        <v>387</v>
      </c>
      <c r="CT3" s="242" t="s">
        <v>388</v>
      </c>
      <c r="CU3" s="242" t="s">
        <v>389</v>
      </c>
      <c r="CV3" s="242" t="s">
        <v>390</v>
      </c>
      <c r="CW3" s="242" t="s">
        <v>391</v>
      </c>
      <c r="CX3" s="242" t="s">
        <v>392</v>
      </c>
      <c r="CY3" s="242" t="s">
        <v>393</v>
      </c>
      <c r="CZ3" s="241" t="s">
        <v>394</v>
      </c>
      <c r="DA3" s="242" t="s">
        <v>395</v>
      </c>
      <c r="DB3" s="242" t="s">
        <v>396</v>
      </c>
      <c r="DC3" s="242" t="s">
        <v>397</v>
      </c>
      <c r="DD3" s="242" t="s">
        <v>398</v>
      </c>
      <c r="DE3" s="242" t="s">
        <v>399</v>
      </c>
      <c r="DF3" s="242" t="s">
        <v>400</v>
      </c>
      <c r="DG3" s="242" t="s">
        <v>401</v>
      </c>
      <c r="DH3" s="242" t="s">
        <v>402</v>
      </c>
      <c r="DI3" s="242" t="s">
        <v>403</v>
      </c>
      <c r="DJ3" s="242" t="s">
        <v>404</v>
      </c>
      <c r="DK3" s="242" t="s">
        <v>405</v>
      </c>
      <c r="DL3" s="241" t="s">
        <v>406</v>
      </c>
      <c r="DM3" s="242" t="s">
        <v>407</v>
      </c>
      <c r="DN3" s="242" t="s">
        <v>408</v>
      </c>
      <c r="DO3" s="242" t="s">
        <v>409</v>
      </c>
      <c r="DP3" s="242" t="s">
        <v>410</v>
      </c>
      <c r="DQ3" s="242" t="s">
        <v>411</v>
      </c>
      <c r="DR3" s="242" t="s">
        <v>412</v>
      </c>
      <c r="DS3" s="242" t="s">
        <v>413</v>
      </c>
      <c r="DT3" s="242" t="s">
        <v>414</v>
      </c>
      <c r="DU3" s="242" t="s">
        <v>415</v>
      </c>
      <c r="DV3" s="242" t="s">
        <v>416</v>
      </c>
      <c r="DW3" s="243" t="s">
        <v>417</v>
      </c>
      <c r="DX3" s="241" t="s">
        <v>203</v>
      </c>
      <c r="DY3" s="242" t="s">
        <v>204</v>
      </c>
      <c r="DZ3" s="242" t="s">
        <v>205</v>
      </c>
      <c r="EA3" s="242" t="s">
        <v>206</v>
      </c>
      <c r="EB3" s="242" t="s">
        <v>207</v>
      </c>
      <c r="EC3" s="242" t="s">
        <v>208</v>
      </c>
      <c r="ED3" s="242" t="s">
        <v>209</v>
      </c>
      <c r="EE3" s="242" t="s">
        <v>210</v>
      </c>
      <c r="EF3" s="242" t="s">
        <v>211</v>
      </c>
      <c r="EG3" s="242" t="s">
        <v>212</v>
      </c>
      <c r="EH3" s="242" t="s">
        <v>213</v>
      </c>
      <c r="EI3" s="243" t="s">
        <v>214</v>
      </c>
      <c r="EJ3" s="367" t="s">
        <v>418</v>
      </c>
      <c r="EK3" s="366" t="s">
        <v>419</v>
      </c>
      <c r="EL3" s="366" t="s">
        <v>420</v>
      </c>
      <c r="EM3" s="366" t="s">
        <v>421</v>
      </c>
      <c r="EN3" s="366" t="s">
        <v>422</v>
      </c>
      <c r="EO3" s="366" t="s">
        <v>423</v>
      </c>
      <c r="EP3" s="366" t="s">
        <v>424</v>
      </c>
      <c r="EQ3" s="366" t="s">
        <v>425</v>
      </c>
      <c r="ER3" s="366" t="s">
        <v>426</v>
      </c>
      <c r="ES3" s="366" t="s">
        <v>427</v>
      </c>
      <c r="ET3" s="366" t="s">
        <v>428</v>
      </c>
      <c r="EU3" s="368" t="s">
        <v>429</v>
      </c>
      <c r="EV3" s="241" t="s">
        <v>227</v>
      </c>
      <c r="EW3" s="242" t="s">
        <v>228</v>
      </c>
      <c r="EX3" s="242" t="s">
        <v>229</v>
      </c>
      <c r="EY3" s="242" t="s">
        <v>230</v>
      </c>
      <c r="EZ3" s="242" t="s">
        <v>231</v>
      </c>
      <c r="FA3" s="242" t="s">
        <v>232</v>
      </c>
      <c r="FB3" s="242" t="s">
        <v>233</v>
      </c>
      <c r="FC3" s="242" t="s">
        <v>234</v>
      </c>
      <c r="FD3" s="242" t="s">
        <v>235</v>
      </c>
      <c r="FE3" s="242" t="s">
        <v>236</v>
      </c>
      <c r="FF3" s="242" t="s">
        <v>237</v>
      </c>
      <c r="FG3" s="243" t="s">
        <v>238</v>
      </c>
      <c r="FH3" s="242" t="s">
        <v>239</v>
      </c>
      <c r="FI3" s="242" t="s">
        <v>240</v>
      </c>
      <c r="FJ3" s="242" t="s">
        <v>241</v>
      </c>
      <c r="FK3" s="242" t="s">
        <v>242</v>
      </c>
      <c r="FL3" s="242" t="s">
        <v>243</v>
      </c>
      <c r="FM3" s="242" t="s">
        <v>244</v>
      </c>
      <c r="FN3" s="242" t="s">
        <v>245</v>
      </c>
      <c r="FO3" s="242" t="s">
        <v>246</v>
      </c>
      <c r="FP3" s="242" t="s">
        <v>247</v>
      </c>
      <c r="FQ3" s="242" t="s">
        <v>248</v>
      </c>
      <c r="FR3" s="242" t="s">
        <v>249</v>
      </c>
      <c r="FS3" s="366" t="s">
        <v>250</v>
      </c>
      <c r="FT3" s="363" t="s">
        <v>251</v>
      </c>
      <c r="FU3" s="364" t="s">
        <v>252</v>
      </c>
      <c r="FV3" s="364" t="s">
        <v>253</v>
      </c>
      <c r="FW3" s="364" t="s">
        <v>254</v>
      </c>
      <c r="FX3" s="364" t="s">
        <v>255</v>
      </c>
      <c r="FY3" s="364" t="s">
        <v>256</v>
      </c>
      <c r="FZ3" s="364" t="s">
        <v>257</v>
      </c>
      <c r="GA3" s="364" t="s">
        <v>258</v>
      </c>
      <c r="GB3" s="364" t="s">
        <v>259</v>
      </c>
      <c r="GC3" s="364" t="s">
        <v>260</v>
      </c>
      <c r="GD3" s="364" t="s">
        <v>261</v>
      </c>
      <c r="GE3" s="364" t="s">
        <v>262</v>
      </c>
      <c r="GF3" s="363" t="s">
        <v>263</v>
      </c>
      <c r="GG3" s="364" t="s">
        <v>264</v>
      </c>
      <c r="GH3" s="364" t="s">
        <v>265</v>
      </c>
      <c r="GI3" s="364" t="s">
        <v>266</v>
      </c>
      <c r="GJ3" s="364" t="s">
        <v>267</v>
      </c>
      <c r="GK3" s="364" t="s">
        <v>268</v>
      </c>
      <c r="GL3" s="364" t="s">
        <v>269</v>
      </c>
      <c r="GM3" s="364" t="s">
        <v>270</v>
      </c>
      <c r="GN3" s="364" t="s">
        <v>271</v>
      </c>
      <c r="GO3" s="364" t="s">
        <v>272</v>
      </c>
      <c r="GP3" s="364" t="s">
        <v>273</v>
      </c>
      <c r="GQ3" s="364" t="s">
        <v>274</v>
      </c>
      <c r="GR3" s="363" t="s">
        <v>275</v>
      </c>
      <c r="GS3" s="364" t="s">
        <v>276</v>
      </c>
      <c r="GT3" s="364" t="s">
        <v>277</v>
      </c>
      <c r="GU3" s="364" t="s">
        <v>278</v>
      </c>
      <c r="GV3" s="364" t="s">
        <v>279</v>
      </c>
      <c r="GW3" s="364" t="s">
        <v>280</v>
      </c>
      <c r="GX3" s="364" t="s">
        <v>281</v>
      </c>
      <c r="GY3" s="364" t="s">
        <v>282</v>
      </c>
      <c r="GZ3" s="364" t="s">
        <v>283</v>
      </c>
      <c r="HA3" s="364" t="s">
        <v>284</v>
      </c>
      <c r="HB3" s="364" t="s">
        <v>285</v>
      </c>
      <c r="HC3" s="365" t="s">
        <v>286</v>
      </c>
      <c r="HD3" s="362" t="s">
        <v>287</v>
      </c>
      <c r="HE3" s="362" t="s">
        <v>288</v>
      </c>
      <c r="HF3" s="362" t="s">
        <v>289</v>
      </c>
      <c r="HG3" s="362" t="s">
        <v>290</v>
      </c>
      <c r="HH3" s="362" t="s">
        <v>291</v>
      </c>
      <c r="HI3" s="362" t="s">
        <v>292</v>
      </c>
      <c r="HJ3" s="362" t="s">
        <v>293</v>
      </c>
      <c r="HK3" s="362" t="s">
        <v>294</v>
      </c>
      <c r="HL3" s="362" t="s">
        <v>295</v>
      </c>
      <c r="HM3" s="362" t="s">
        <v>296</v>
      </c>
      <c r="HN3" s="362" t="s">
        <v>297</v>
      </c>
      <c r="HO3" s="362" t="s">
        <v>298</v>
      </c>
      <c r="HP3" s="219" t="s">
        <v>430</v>
      </c>
      <c r="HQ3" s="220" t="s">
        <v>431</v>
      </c>
      <c r="HR3" s="220" t="s">
        <v>432</v>
      </c>
      <c r="HS3" s="220" t="s">
        <v>433</v>
      </c>
      <c r="HT3" s="220" t="s">
        <v>434</v>
      </c>
      <c r="HU3" s="220" t="s">
        <v>435</v>
      </c>
      <c r="HV3" s="220" t="s">
        <v>436</v>
      </c>
      <c r="HW3" s="220" t="s">
        <v>437</v>
      </c>
      <c r="HX3" s="220" t="s">
        <v>438</v>
      </c>
      <c r="HY3" s="220" t="s">
        <v>439</v>
      </c>
      <c r="HZ3" s="220" t="s">
        <v>440</v>
      </c>
      <c r="IA3" s="220" t="s">
        <v>441</v>
      </c>
      <c r="IB3" s="220" t="s">
        <v>442</v>
      </c>
      <c r="IC3" s="221" t="s">
        <v>443</v>
      </c>
      <c r="ID3" s="145" t="s">
        <v>444</v>
      </c>
      <c r="IE3" s="145" t="s">
        <v>445</v>
      </c>
      <c r="IF3" s="145" t="s">
        <v>446</v>
      </c>
      <c r="IG3" s="146" t="s">
        <v>447</v>
      </c>
      <c r="IH3" s="145" t="s">
        <v>448</v>
      </c>
      <c r="II3" s="145" t="s">
        <v>449</v>
      </c>
      <c r="IJ3" s="145" t="s">
        <v>450</v>
      </c>
      <c r="IK3" s="145" t="s">
        <v>451</v>
      </c>
      <c r="IL3" s="145" t="s">
        <v>452</v>
      </c>
      <c r="IM3" s="146" t="s">
        <v>453</v>
      </c>
    </row>
    <row r="4" spans="1:247" ht="16.5" customHeight="1">
      <c r="A4" s="484">
        <f>Office_Target_Energy</f>
        <v>0</v>
      </c>
      <c r="B4" s="484">
        <f>Office_Target_Water</f>
        <v>0</v>
      </c>
      <c r="C4" s="485" t="str">
        <f>Office_Rating_Type</f>
        <v>&lt;Select&gt;</v>
      </c>
      <c r="D4" s="485">
        <f>Office_Postcode</f>
        <v>0</v>
      </c>
      <c r="E4" s="485">
        <f>Office_Hrs</f>
        <v>0</v>
      </c>
      <c r="F4" s="488">
        <f>Office_NLA</f>
        <v>0</v>
      </c>
      <c r="G4" s="486">
        <f>Office_Computers</f>
        <v>0</v>
      </c>
      <c r="H4" s="487">
        <f>Office_Elec_Percent</f>
        <v>0</v>
      </c>
      <c r="I4" s="487">
        <f>Office_Gas_Percent</f>
        <v>0</v>
      </c>
      <c r="J4" s="487">
        <f>Office_Diesel_Percent</f>
        <v>0</v>
      </c>
      <c r="K4" s="126" t="e">
        <f>IF(tbl_Office_Multi[[#This Row],[Target Energy]]&gt;5,"N/A",tbl_Office_Multi[[#This Row],[Target Max Energy NGE]])</f>
        <v>#N/A</v>
      </c>
      <c r="L4" s="126">
        <f>tbl_Office_Multi[[#This Row],[Target Max GE]]</f>
        <v>0</v>
      </c>
      <c r="M4" s="42">
        <f>tbl_Office_Multi[[#This Row],[Target Max CO2]]</f>
        <v>0</v>
      </c>
      <c r="N4" s="42">
        <f>tbl_Office_Multi[[#This Row],[Target Max GE]]</f>
        <v>0</v>
      </c>
      <c r="O4" s="378" t="e">
        <f>tbl_Office_Multi[[#This Row],[Target Max Energy Intensity]]</f>
        <v>#DIV/0!</v>
      </c>
      <c r="P4" s="42" t="e">
        <f>tbl_Office_Multi[[#This Row],[Target Scopes 1,2&amp;3]]</f>
        <v>#DIV/0!</v>
      </c>
      <c r="Q4" s="42" t="e">
        <f>tbl_Office_Multi[[#This Row],[Target Scopes 1&amp;2]]</f>
        <v>#DIV/0!</v>
      </c>
      <c r="R4" s="42" t="e">
        <f>tbl_Office_Multi[[#This Row],[Target Max Elec (kWh)]]</f>
        <v>#DIV/0!</v>
      </c>
      <c r="S4" s="42" t="e">
        <f>tbl_Office_Multi[[#This Row],[Target Max Gas (MJ)]]</f>
        <v>#DIV/0!</v>
      </c>
      <c r="T4" s="42" t="e">
        <f>tbl_Office_Multi[[#This Row],[Target Max Diesel (L)]]</f>
        <v>#DIV/0!</v>
      </c>
      <c r="U4" s="42" t="e">
        <f>tbl_Office_Multi[[#This Row],[Max Water]]</f>
        <v>#N/A</v>
      </c>
      <c r="V4" s="126" t="e">
        <f>tbl_Office_Multi[[#This Row],[max w]]</f>
        <v>#N/A</v>
      </c>
      <c r="W4" s="285">
        <f>Office_Elec_FWD</f>
        <v>0</v>
      </c>
      <c r="X4" s="285">
        <f>Office_Gas_FWD</f>
        <v>0</v>
      </c>
      <c r="Y4" s="285">
        <f>Office_Diesel_FWD</f>
        <v>0</v>
      </c>
      <c r="Z4" s="43">
        <f>Office_GreenPower_Percent_FWD</f>
        <v>0</v>
      </c>
      <c r="AA4" s="285">
        <f>Office_Water_FWD</f>
        <v>0</v>
      </c>
      <c r="AB4" s="43">
        <f>Office_RW_Percent_FWD</f>
        <v>0</v>
      </c>
      <c r="AC4" s="45" t="e">
        <f>INDEX(tbl_Climate_Lookup[],MATCH(tbl_Office_Multi[[Postcode]:[Postcode]],tbl_Climate_Lookup[[Postcode]:[Postcode]],0),MATCH(tbl_Office_Multi[[#Headers],[State]],tbl_Climate_Lookup[#Headers],0))</f>
        <v>#N/A</v>
      </c>
      <c r="AD4" s="45" t="e">
        <f>INDEX(tbl_Climate_Lookup[],MATCH(tbl_Office_Multi[[Postcode]:[Postcode]],tbl_Climate_Lookup[[Postcode]:[Postcode]],0),MATCH(tbl_Office_Multi[[#Headers],[Climate zone]],tbl_Climate_Lookup[#Headers],0))</f>
        <v>#N/A</v>
      </c>
      <c r="AE4" s="169" t="e">
        <f>INDEX(tbl_Climate_Lookup[],MATCH(tbl_Office_Multi[[Postcode]:[Postcode]],tbl_Climate_Lookup[[Postcode]:[Postcode]],0),MATCH(tbl_Office_Multi[[#Headers],[HDD]],tbl_Climate_Lookup[#Headers],0))</f>
        <v>#N/A</v>
      </c>
      <c r="AF4" s="169" t="e">
        <f>INDEX(tbl_Climate_Lookup[],MATCH(tbl_Office_Multi[[Postcode]:[Postcode]],tbl_Climate_Lookup[[Postcode]:[Postcode]],0),MATCH(tbl_Office_Multi[[#Headers],[CDD]],tbl_Climate_Lookup[#Headers],0))</f>
        <v>#N/A</v>
      </c>
      <c r="AG4" s="45" t="e">
        <f>INDEX(tbl_SGE_Office_2020[],MATCH(tbl_Office_Multi[[State]:[State]],tbl_SGE_Office_2020[[State]:[State]],0),MATCH(tbl_Office_Multi[[#Headers],[SGEekWh]],tbl_SGE_Office_2020[#Headers],0))</f>
        <v>#N/A</v>
      </c>
      <c r="AH4" s="45" t="e">
        <f>INDEX(tbl_SGE_Office_2020[],MATCH(tbl_Office_Multi[[State]:[State]],tbl_SGE_Office_2020[[State]:[State]],0),MATCH(tbl_Office_Multi[[#Headers],[SGEgkWh]],tbl_SGE_Office_2020[#Headers],0))</f>
        <v>#N/A</v>
      </c>
      <c r="AI4" s="45" t="e">
        <f>INDEX(tbl_SGE_Office_2020[],MATCH(tbl_Office_Multi[[State]:[State]],tbl_SGE_Office_2020[[State]:[State]],0),MATCH(tbl_Office_Multi[[#Headers],[SGEdkWh]],tbl_SGE_Office_2020[#Headers],0))</f>
        <v>#N/A</v>
      </c>
      <c r="AJ4" s="45" t="e">
        <f>tbl_Office_Multi[[#This Row],[SGEekWh]]</f>
        <v>#N/A</v>
      </c>
      <c r="AK4" s="45" t="e">
        <f>tbl_Office_Multi[[#This Row],[SGEgkWh]]/tbl_Office_Multi[[#This Row],[CFelec]]</f>
        <v>#N/A</v>
      </c>
      <c r="AL4" s="45" t="e">
        <f>tbl_Office_Multi[[#This Row],[SGEdkWh]]/tbl_Office_Multi[[#This Row],[CFelec]]*tbl_Office_Multi[[#This Row],[CFdiesel]]</f>
        <v>#N/A</v>
      </c>
      <c r="AM4" s="50">
        <f>INDEX(tbl_Conversion_Factors[[Conversion Factors]:[Conversion Factors]],MATCH(tbl_Office_Multi[[#Headers],[CFelec]],tbl_Conversion_Factors[[Reference]:[Reference]],0))</f>
        <v>3.6</v>
      </c>
      <c r="AN4" s="50">
        <f>INDEX(tbl_Conversion_Factors[[Conversion Factors]:[Conversion Factors]],MATCH(tbl_Office_Multi[[#Headers],[CFdiesel]],tbl_Conversion_Factors[[Reference]:[Reference]],0))</f>
        <v>38.6</v>
      </c>
      <c r="AO4" s="45" t="e">
        <f>tbl_Office_Multi[[#This Row],[SGEe]]/tbl_Office_Multi[[#This Row],[CFelec]]</f>
        <v>#N/A</v>
      </c>
      <c r="AP4" s="45" t="e">
        <f>tbl_Office_Multi[[#This Row],[SGEd]]/tbl_Office_Multi[[#This Row],[CFdiesel]]</f>
        <v>#N/A</v>
      </c>
      <c r="AQ4" s="46">
        <f>IF(SUM(tbl_Office_Multi[[#This Row],[Electricity (%)]:[Diesel (%)]])=1,
SUM(tbl_Office_Multi[[#This Row],[Electricity (%)]]*tbl_Office_Multi[[#This Row],[SGEeMJ]],
tbl_Office_Multi[[#This Row],[Gas (%)]]*tbl_Office_Multi[[#This Row],[SGEg]],
tbl_Office_Multi[[#This Row],[Diesel (%)]]*tbl_Office_Multi[[#This Row],[SGEdMJ]]),
0)</f>
        <v>0</v>
      </c>
      <c r="AR4" s="46" t="e">
        <f>INDEX(tbl_NGA_Factors_2021[],MATCH(tbl_Office_Multi[[State]:[State]],tbl_NGA_Factors_2021[[State]:[State]],0),MATCH(tbl_Office_Multi[[#Headers],[SGEe Scopes 1,2&amp;3]],tbl_NGA_Factors_2021[#Headers],0))</f>
        <v>#N/A</v>
      </c>
      <c r="AS4" s="46" t="e">
        <f>INDEX(tbl_NGA_Factors_2021[],MATCH(tbl_Office_Multi[[State]:[State]],tbl_NGA_Factors_2021[[State]:[State]],0),MATCH(tbl_Office_Multi[[#Headers],[SGEg Scopes 1,2&amp;3]],tbl_NGA_Factors_2021[#Headers],0))</f>
        <v>#N/A</v>
      </c>
      <c r="AT4" s="46" t="e">
        <f>INDEX(tbl_NGA_Factors_2021[],MATCH(tbl_Office_Multi[[State]:[State]],tbl_NGA_Factors_2021[[State]:[State]],0),MATCH(tbl_Office_Multi[[#Headers],[SGEd Scopes 1,2&amp;3]],tbl_NGA_Factors_2021[#Headers],0))</f>
        <v>#N/A</v>
      </c>
      <c r="AU4" s="46" t="e">
        <f>INDEX(tbl_NGA_Factors_2021[],MATCH(tbl_Office_Multi[[State]:[State]],tbl_NGA_Factors_2021[[State]:[State]],0),MATCH(tbl_Office_Multi[[#Headers],[SGEe Scopes 1&amp;2]],tbl_NGA_Factors_2021[#Headers],0))</f>
        <v>#N/A</v>
      </c>
      <c r="AV4" s="46" t="e">
        <f>INDEX(tbl_NGA_Factors_2021[],MATCH(tbl_Office_Multi[[State]:[State]],tbl_NGA_Factors_2021[[State]:[State]],0),MATCH(tbl_Office_Multi[[#Headers],[SGEg Scopes 1&amp;2]],tbl_NGA_Factors_2021[#Headers],0))</f>
        <v>#N/A</v>
      </c>
      <c r="AW4" s="46" t="e">
        <f>INDEX(tbl_NGA_Factors_2021[],MATCH(tbl_Office_Multi[[State]:[State]],tbl_NGA_Factors_2021[[State]:[State]],0),MATCH(tbl_Office_Multi[[#Headers],[SGEd Scopes 1&amp;2]],tbl_NGA_Factors_2021[#Headers],0))</f>
        <v>#N/A</v>
      </c>
      <c r="AX4" s="45">
        <f>MIN(tbl_Office_Multi[[#This Row],[Hrs]]+10,168)</f>
        <v>10</v>
      </c>
      <c r="AY4" s="45">
        <f>1/(0.38+0.0116*tbl_Office_Multi[[#This Row],[h]])</f>
        <v>2.0161290322580645</v>
      </c>
      <c r="AZ4" s="45">
        <f>1/(0.38+0.0105*tbl_Office_Multi[[#This Row],[h]])</f>
        <v>2.061855670103093</v>
      </c>
      <c r="BA4" s="45" t="e">
        <f>0.2*tbl_Office_Multi[[#This Row],[Comp]]/tbl_Office_Multi[[#This Row],[NLA]]</f>
        <v>#DIV/0!</v>
      </c>
      <c r="BB4" s="45" t="e">
        <f>(5-tbl_Office_Multi[[#This Row],[A]]-0.499999)/tbl_Office_Multi[[#This Row],[B]]</f>
        <v>#N/A</v>
      </c>
      <c r="BC4" s="45">
        <f>IF(tbl_Office_Multi[[#This Row],[Rating Type]]="Base Building",tbl_Office_Multi[[#This Row],[NGEat_5_stars]]/tbl_Office_Multi[[#This Row],[f_basebuilding]]-tbl_Office_Multi[[#This Row],[GEcorrclimate]],
IF(tbl_Office_Multi[[#This Row],[Rating Type]]="Tenancy",tbl_Office_Multi[[#This Row],[NGEat_5_stars]]/tbl_Office_Multi[[#This Row],[f_tenancy]]-tbl_Office_Multi[[#This Row],[GEcorrtenancy]],
IF(tbl_Office_Multi[[#This Row],[Rating Type]]="Whole Building",(tbl_Office_Multi[[#This Row],[NGEat_5_stars]]-tbl_Office_Multi[[#This Row],[f_tenancy]]*tbl_Office_Multi[[#This Row],[GEcorrtenancy]]-tbl_Office_Multi[[#This Row],[f_basebuilding]]*tbl_Office_Multi[[#This Row],[GEcorrclimate]])/((tbl_Office_Multi[[#This Row],[f_basebuilding]]+tbl_Office_Multi[[#This Row],[f_tenancy]])/2),0)))</f>
        <v>0</v>
      </c>
      <c r="BD4" s="45" t="e">
        <f>4000*tbl_Office_Multi[[#This Row],[SGEe]]*(0.008-tbl_Office_Multi[[#This Row],[Dequip]])</f>
        <v>#N/A</v>
      </c>
      <c r="BE4" s="45" t="e">
        <f>SUM(tbl_Office_Multi[[#This Row],[4.12*SGEgas]],
tbl_Office_Multi[[#This Row],[43.6*SGEelec]],
tbl_Office_Multi[[#This Row],[-0.0016*SGEgas*HDD/0.23]],
tbl_Office_Multi[[#This Row],[-0.091*SGEelec*CDD/0.94]],
tbl_Office_Multi[[#This Row],[max(0,0.062*SGEelec*(CDD-400)/0.94)]])</f>
        <v>#N/A</v>
      </c>
      <c r="BF4" s="45" t="e">
        <f>4.12*IF(tbl_Office_Multi[[#This Row],[State]]="TAS",0.75/tbl_Office_Multi[[#This Row],[CFelec]],tbl_Office_Multi[[#This Row],[SGEg]])*3.6</f>
        <v>#N/A</v>
      </c>
      <c r="BG4" s="45" t="e">
        <f>43.6*tbl_Office_Multi[[#This Row],[SGEe]]</f>
        <v>#N/A</v>
      </c>
      <c r="BH4" s="45" t="e">
        <f>-0.0016*IF(tbl_Office_Multi[[#This Row],[State]]="TAS",0.75/tbl_Office_Multi[[#This Row],[CFelec]],tbl_Office_Multi[[#This Row],[SGEg]])*tbl_Office_Multi[[#This Row],[CFelec]]*tbl_Office_Multi[[#This Row],[HDD]]/0.23</f>
        <v>#N/A</v>
      </c>
      <c r="BI4" s="45" t="e">
        <f>-0.091*tbl_Office_Multi[[#This Row],[SGEe]]*tbl_Office_Multi[[#This Row],[CDD]]/0.94</f>
        <v>#N/A</v>
      </c>
      <c r="BJ4" s="45" t="e">
        <f>MAX(0,0.062*tbl_Office_Multi[[#This Row],[SGEe]]*(tbl_Office_Multi[[#This Row],[CDD]]-400)/0.94)</f>
        <v>#N/A</v>
      </c>
      <c r="BK4" s="45" t="e">
        <f>INDEX(tbl_Office_Coefficients[],MATCH(tbl_Office_Multi[[#This Row],[State]],tbl_Office_Coefficients[[State]:[State]],0),MATCH(tbl_Office_Multi[[#This Row],[Rating Type]]&amp;" "&amp;tbl_Office_Multi[[#Headers],[A]],tbl_Office_Coefficients[#Headers],0))</f>
        <v>#N/A</v>
      </c>
      <c r="BL4" s="45" t="e">
        <f>INDEX(tbl_Office_Coefficients[],MATCH(tbl_Office_Multi[[#This Row],[State]],tbl_Office_Coefficients[[State]:[State]],0),MATCH(tbl_Office_Multi[[#This Row],[Rating Type]]&amp;" "&amp;tbl_Office_Multi[[#Headers],[B]],tbl_Office_Coefficients[#Headers],0))</f>
        <v>#N/A</v>
      </c>
      <c r="BM4" s="45">
        <f t="shared" ref="BM4:BM6" si="0">Office_C_E_A_beyond_5_stars</f>
        <v>6.5000099999999996</v>
      </c>
      <c r="BN4" s="45" t="e">
        <f>1/(-tbl_Office_Multi[[#This Row],[GEat_5_stars]]/2)</f>
        <v>#DIV/0!</v>
      </c>
      <c r="BO4" s="36" t="e">
        <f>IF(tbl_Office_Multi[[#This Row],[Target Water]]&lt;=5,
tbl_Office_Multi[[#This Row],[M star]]-((tbl_Office_Multi[[#This Row],[Target Water]]-IF(tbl_Office_Multi[[#This Row],[Target Water]]=5,Office_C_W_R_star_rating_offset_at_5_stars,Office_C_W_R_star_rating_offset))/Office_C_W_Median_Rating-1)*(tbl_Office_Multi[[#This Row],[M star]]-tbl_Office_Multi[[#This Row],[Alpha star]]),
"N/A")</f>
        <v>#N/A</v>
      </c>
      <c r="BP4" s="36">
        <f>IF(tbl_Office_Multi[[#This Row],[Target Water]]&lt;=5,
Office_C_W_M_star_Intercept+Office_C_W_Alpha_Star_Hrs_Coefficient*(tbl_Office_Multi[[#This Row],[Hrs]]-Office_C_W_Hrs_Offset)-Office_C_W2_Hrs_Ratio*((tbl_Office_Multi[[#This Row],[Target Water]]-IF(tbl_Office_Multi[[#This Row],[Target Water]]=5,Office_C_W_R_star_rating_offset_at_5_stars,Office_C_W_R_star_rating_offset))/Office_C_W_Median_Rating-1),
"N/A")</f>
        <v>0.9064444444444445</v>
      </c>
      <c r="BQ4" s="127">
        <f>Office_C_W_Alpha_Star_Intercept+Office_C_W_Alpha_Star_Hrs_Coefficient*(tbl_Office_Multi[[#This Row],[Hrs]]-Office_C_W_Hrs_Offset)</f>
        <v>0.26199999999999996</v>
      </c>
      <c r="BR4" s="36" t="e">
        <f>(tbl_Office_Multi[[#This Row],[M]]-Office_C_W_M_star_Intercept)*(1+Office_C_W_M_star_Hrs_Coefficient*(tbl_Office_Multi[[#This Row],[Hrs]]-Office_C_W_Hrs_Offset))+Office_C_W_Alpha_Star_Hrs_Coefficient*(tbl_Office_Multi[[#This Row],[Hrs]]-Office_C_W_Hrs_Offset)+Office_C_W_M_star_Intercept</f>
        <v>#N/A</v>
      </c>
      <c r="BS4" s="45" t="e">
        <f>IF(tbl_Office_Multi[[#This Row],[CDD]]&lt;1100,tbl_Office_Multi[[#This Row],[0.64+0.0009*CDD]],tbl_Office_Multi[[#This Row],[1.63+0.00023*CDD]])</f>
        <v>#N/A</v>
      </c>
      <c r="BT4" s="36" t="e">
        <f>Office_C_W_Low_CDD_Intercept+Office_C_W_Low_CDD_Coefficient*tbl_Office_Multi[[#This Row],[CDD]]</f>
        <v>#N/A</v>
      </c>
      <c r="BU4" s="38" t="e">
        <f>Office_C_W_High_CDD_Intercept+Office_C_W_High_CDD_coefficient*tbl_Office_Multi[[#This Row],[CDD]]</f>
        <v>#N/A</v>
      </c>
      <c r="BV4" s="36">
        <f>Office_C_W_M_star_Intercept+Office_C_W_Alpha_Star_Hrs_Coefficient*(tbl_Office_Multi[[#This Row],[Hrs]]-Office_C_W_Hrs_Offset)-Office_C_W2_Hrs_Ratio*(Office_C_W_R_at_5_stars/Office_C_W_Median_Rating-1)</f>
        <v>0.26200000000000007</v>
      </c>
      <c r="BW4" s="45">
        <f t="shared" ref="BW4:BW6" si="1">Office_C_W_A_beyond_5_stars</f>
        <v>6.5000999999999998</v>
      </c>
      <c r="BX4" s="45">
        <f>-2/tbl_Office_Multi[[#This Row],[wat_5stars]]</f>
        <v>-7.6335877862595405</v>
      </c>
      <c r="BY4" s="36" t="e">
        <f>tbl_Office_Multi[[#This Row],[M star]]-tbl_Office_Multi[[#This Row],[w (with recyc)]]</f>
        <v>#N/A</v>
      </c>
      <c r="BZ4" s="36" t="e">
        <f>tbl_Office_Multi[[#This Row],[M star]]-tbl_Office_Multi[[#This Row],[Alpha star]]</f>
        <v>#N/A</v>
      </c>
      <c r="CA4" s="36" t="e">
        <f>(Office_C_W_M_star_Intercept+Office_C_W_Alpha_Star_Hrs_Coefficient*(tbl_Office_Multi[[#This Row],[Hrs]]-Office_C_W_Hrs_Offset)-tbl_Office_Multi[[#This Row],[w (with recyc)]])/Office_C_W2_Hrs_Ratio</f>
        <v>#DIV/0!</v>
      </c>
      <c r="CB4" s="36" t="e">
        <f>(tbl_Office_Multi[[#This Row],[Target Energy]]-Office_C_Reverse_Star_Band_Residual_Adjustment-tbl_Office_Multi[[#This Row],[A]])/tbl_Office_Multi[[#This Row],[B]]</f>
        <v>#N/A</v>
      </c>
      <c r="CC4" s="36">
        <f>IF(tbl_Office_Multi[[#This Row],[Target Energy]]&gt;5,
(tbl_Office_Multi[[#This Row],[Target Energy]]-Hotel_C_Reverse_Star_Band_Residual_Adjustment-tbl_Office_Multi[[#This Row],[AEnergybeyond5stars]])/tbl_Office_Multi[[#This Row],[BEnergybeyond5stars gasMJ]],
IF(tbl_Office_Multi[[#This Row],[Rating Type]]="Base Building",
tbl_Office_Multi[[#This Row],[Target Max Energy NGE]]/tbl_Office_Multi[[#This Row],[f_basebuilding]]-tbl_Office_Multi[[#This Row],[GEcorrclimate]],
IF(tbl_Office_Multi[[#This Row],[Rating Type]]="Tenancy",
tbl_Office_Multi[[#This Row],[Target Max Energy NGE]]/tbl_Office_Multi[[#This Row],[f_tenancy]]-tbl_Office_Multi[[#This Row],[GEcorrtenancy]],
IF(tbl_Office_Multi[[#This Row],[Rating Type]]="Whole Building",
(tbl_Office_Multi[[#This Row],[Target Max Energy NGE]]-tbl_Office_Multi[[#This Row],[f_tenancy]]*tbl_Office_Multi[[#This Row],[GEcorrtenancy]]-tbl_Office_Multi[[#This Row],[f_basebuilding]]*tbl_Office_Multi[[#This Row],[GEcorrclimate]])/((tbl_Office_Multi[[#This Row],[f_basebuilding]]+tbl_Office_Multi[[#This Row],[f_tenancy]])/2),
0))))</f>
        <v>0</v>
      </c>
      <c r="CD4" s="44">
        <f>tbl_Office_Multi[[#This Row],[Target Max GE]]*tbl_Office_Multi[[#This Row],[NLA]]</f>
        <v>0</v>
      </c>
      <c r="CE4" s="44" t="e">
        <f>tbl_Office_Multi[[#This Row],[Target Max CO2]]/tbl_Office_Multi[[#This Row],[EffGHGMJ]]</f>
        <v>#DIV/0!</v>
      </c>
      <c r="CF4" s="44" t="e">
        <f>tbl_Office_Multi[[#This Row],[Target Max Energy (MJ)]]/tbl_Office_Multi[[#This Row],[NLA]]</f>
        <v>#DIV/0!</v>
      </c>
      <c r="CG4" s="44" t="e">
        <f>ROUNDDOWN(tbl_Office_Multi[[#This Row],[Target Max Energy (MJ)]]*tbl_Office_Multi[[#This Row],[Electricity (%)]]/tbl_Office_Multi[[#This Row],[CFelec]],0)</f>
        <v>#DIV/0!</v>
      </c>
      <c r="CH4" s="44" t="e">
        <f>ROUNDDOWN(tbl_Office_Multi[[#This Row],[Target Max Energy (MJ)]]*tbl_Office_Multi[[#This Row],[Gas (%)]],0)</f>
        <v>#DIV/0!</v>
      </c>
      <c r="CI4" s="44" t="e">
        <f>ROUNDDOWN(tbl_Office_Multi[[#This Row],[Target Max Energy (MJ)]]*tbl_Office_Multi[[#This Row],[Diesel (%)]]/tbl_Office_Multi[[#This Row],[CFdiesel]],0)</f>
        <v>#DIV/0!</v>
      </c>
      <c r="CJ4" s="44" t="e">
        <f>SUM(tbl_Office_Multi[[#This Row],[Target Max Elec (kWh)]]*tbl_Office_Multi[[#This Row],[SGEe Scopes 1,2&amp;3]],
tbl_Office_Multi[[#This Row],[Target Max Gas (MJ)]]*tbl_Office_Multi[[#This Row],[SGEg Scopes 1,2&amp;3]],
tbl_Office_Multi[[#This Row],[Target Max Diesel (L)]]*tbl_Office_Multi[[#This Row],[SGEd Scopes 1,2&amp;3]])</f>
        <v>#DIV/0!</v>
      </c>
      <c r="CK4" s="44" t="e">
        <f>SUM(tbl_Office_Multi[[#This Row],[Target Max Elec (kWh)]]*tbl_Office_Multi[[#This Row],[SGEe Scopes 1&amp;2]],
tbl_Office_Multi[[#This Row],[Target Max Gas (MJ)]]*tbl_Office_Multi[[#This Row],[SGEg Scopes 1&amp;2]],
tbl_Office_Multi[[#This Row],[Target Max Diesel (L)]]*tbl_Office_Multi[[#This Row],[SGEd Scopes 1&amp;2]])</f>
        <v>#DIV/0!</v>
      </c>
      <c r="CL4" s="45" t="e">
        <f>ROUNDDOWN(tbl_Office_Multi[[#This Row],[max w]]*tbl_Office_Multi[[#This Row],[NLA]],0)</f>
        <v>#N/A</v>
      </c>
      <c r="CM4" s="36" t="e">
        <f>IF(tbl_Office_Multi[[#This Row],[Target Water]]&lt;=5,IF(tbl_Office_Multi[[#This Row],[w1]]&gt;=tbl_Office_Multi[[#This Row],[Alpha star]],tbl_Office_Multi[[#This Row],[w1]],tbl_Office_Multi[[#This Row],[w2]]),
((7-tbl_Office_Multi[[#This Row],[Target Water]])/2)*tbl_Office_Multi[[#This Row],[wat_5stars]])</f>
        <v>#N/A</v>
      </c>
      <c r="CN4" s="36" t="e">
        <f>(LEFT(tbl_Office_Multi[[#Headers],[6.0* Max NGE]],3)-tbl_Office_Multi[[A]:[A]]-Office_C_Reverse_Star_Band_Residual_Adjustment)/tbl_Office_Multi[[B]:[B]]</f>
        <v>#N/A</v>
      </c>
      <c r="CO4" s="36" t="e">
        <f>(LEFT(tbl_Office_Multi[[#Headers],[5.5* Max NGE]],3)-tbl_Office_Multi[[A]:[A]]-Office_C_Reverse_Star_Band_Residual_Adjustment)/tbl_Office_Multi[[B]:[B]]</f>
        <v>#N/A</v>
      </c>
      <c r="CP4" s="36" t="e">
        <f>(LEFT(tbl_Office_Multi[[#Headers],[5.0* Max NGE]],3)-tbl_Office_Multi[[A]:[A]]-Office_C_Reverse_Star_Band_Residual_Adjustment)/tbl_Office_Multi[[B]:[B]]</f>
        <v>#N/A</v>
      </c>
      <c r="CQ4" s="36" t="e">
        <f>(LEFT(tbl_Office_Multi[[#Headers],[4.5* Max NGE]],3)-tbl_Office_Multi[[A]:[A]]-Office_C_Reverse_Star_Band_Residual_Adjustment)/tbl_Office_Multi[[B]:[B]]</f>
        <v>#N/A</v>
      </c>
      <c r="CR4" s="36" t="e">
        <f>(LEFT(tbl_Office_Multi[[#Headers],[4.0* Max NGE]],3)-tbl_Office_Multi[[A]:[A]]-Office_C_Reverse_Star_Band_Residual_Adjustment)/tbl_Office_Multi[[B]:[B]]</f>
        <v>#N/A</v>
      </c>
      <c r="CS4" s="36" t="e">
        <f>(LEFT(tbl_Office_Multi[[#Headers],[3.5* Max NGE]],3)-tbl_Office_Multi[[A]:[A]]-Office_C_Reverse_Star_Band_Residual_Adjustment)/tbl_Office_Multi[[B]:[B]]</f>
        <v>#N/A</v>
      </c>
      <c r="CT4" s="36" t="e">
        <f>(LEFT(tbl_Office_Multi[[#Headers],[3.0* Max NGE]],3)-tbl_Office_Multi[[A]:[A]]-Office_C_Reverse_Star_Band_Residual_Adjustment)/tbl_Office_Multi[[B]:[B]]</f>
        <v>#N/A</v>
      </c>
      <c r="CU4" s="36" t="e">
        <f>(LEFT(tbl_Office_Multi[[#Headers],[2.5* Max NGE]],3)-tbl_Office_Multi[[A]:[A]]-Office_C_Reverse_Star_Band_Residual_Adjustment)/tbl_Office_Multi[[B]:[B]]</f>
        <v>#N/A</v>
      </c>
      <c r="CV4" s="36" t="e">
        <f>(LEFT(tbl_Office_Multi[[#Headers],[2.0* Max NGE]],3)-tbl_Office_Multi[[A]:[A]]-Office_C_Reverse_Star_Band_Residual_Adjustment)/tbl_Office_Multi[[B]:[B]]</f>
        <v>#N/A</v>
      </c>
      <c r="CW4" s="36" t="e">
        <f>(LEFT(tbl_Office_Multi[[#Headers],[1.5* Max NGE]],3)-tbl_Office_Multi[[A]:[A]]-Office_C_Reverse_Star_Band_Residual_Adjustment)/tbl_Office_Multi[[B]:[B]]</f>
        <v>#N/A</v>
      </c>
      <c r="CX4" s="36" t="e">
        <f>(LEFT(tbl_Office_Multi[[#Headers],[1.0* Max NGE]],3)-tbl_Office_Multi[[A]:[A]]-Office_C_Reverse_Star_Band_Residual_Adjustment)/tbl_Office_Multi[[B]:[B]]</f>
        <v>#N/A</v>
      </c>
      <c r="CY4" s="36" t="e">
        <f>(LEFT(tbl_Office_Multi[[#Headers],[0.0* Max NGE]],3)-tbl_Office_Multi[[A]:[A]]-Office_C_Reverse_Star_Band_Residual_Adjustment)/tbl_Office_Multi[[B]:[B]]</f>
        <v>#N/A</v>
      </c>
      <c r="CZ4" s="36" t="e">
        <f>IF(LEFT(tbl_Office_Multi[[#Headers],[6.0* Max GE]],3)*1&gt;5,
(LEFT(tbl_Office_Multi[[#Headers],[6.0* Max GE]],3)-Office_C_Reverse_Star_Band_Residual_Adjustment-tbl_Office_Multi[[AEnergybeyond5stars]:[AEnergybeyond5stars]])/tbl_Office_Multi[[BEnergybeyond5stars gasMJ]:[BEnergybeyond5stars gasMJ]],
IF(tbl_Office_Multi[[Rating Type]:[Rating Type]]="Base Building",tbl_Office_Multi[[#This Row],[6.0* Max NGE]]/tbl_Office_Multi[[f_basebuilding]:[f_basebuilding]]-tbl_Office_Multi[[GEcorrclimate]:[GEcorrclimate]],
IF(tbl_Office_Multi[[Rating Type]:[Rating Type]]="Tenancy",tbl_Office_Multi[[#This Row],[6.0* Max NGE]]/tbl_Office_Multi[[f_tenancy]:[f_tenancy]]-tbl_Office_Multi[[GEcorrtenancy]:[GEcorrtenancy]],
IF(tbl_Office_Multi[[Rating Type]:[Rating Type]]="Whole Building",(tbl_Office_Multi[[#This Row],[6.0* Max NGE]]-tbl_Office_Multi[[f_tenancy]:[f_tenancy]]*tbl_Office_Multi[[GEcorrtenancy]:[GEcorrtenancy]]-tbl_Office_Multi[[f_basebuilding]:[f_basebuilding]]*tbl_Office_Multi[[GEcorrclimate]:[GEcorrclimate]])/((tbl_Office_Multi[[f_basebuilding]:[f_basebuilding]]+tbl_Office_Multi[[f_tenancy]:[f_tenancy]])/2),0))))</f>
        <v>#DIV/0!</v>
      </c>
      <c r="DA4" s="36" t="e">
        <f>IF(LEFT(tbl_Office_Multi[[#Headers],[5.5* Max GE]],3)*1&gt;5,
(LEFT(tbl_Office_Multi[[#Headers],[5.5* Max GE]],3)-Office_C_Reverse_Star_Band_Residual_Adjustment-tbl_Office_Multi[[AEnergybeyond5stars]:[AEnergybeyond5stars]])/tbl_Office_Multi[[BEnergybeyond5stars gasMJ]:[BEnergybeyond5stars gasMJ]],
IF(tbl_Office_Multi[[Rating Type]:[Rating Type]]="Base Building",tbl_Office_Multi[[#This Row],[5.5* Max NGE]]/tbl_Office_Multi[[f_basebuilding]:[f_basebuilding]]-tbl_Office_Multi[[GEcorrclimate]:[GEcorrclimate]],
IF(tbl_Office_Multi[[Rating Type]:[Rating Type]]="Tenancy",tbl_Office_Multi[[#This Row],[5.5* Max NGE]]/tbl_Office_Multi[[f_tenancy]:[f_tenancy]]-tbl_Office_Multi[[GEcorrtenancy]:[GEcorrtenancy]],
IF(tbl_Office_Multi[[Rating Type]:[Rating Type]]="Whole Building",(tbl_Office_Multi[[#This Row],[5.5* Max NGE]]-tbl_Office_Multi[[f_tenancy]:[f_tenancy]]*tbl_Office_Multi[[GEcorrtenancy]:[GEcorrtenancy]]-tbl_Office_Multi[[f_basebuilding]:[f_basebuilding]]*tbl_Office_Multi[[GEcorrclimate]:[GEcorrclimate]])/((tbl_Office_Multi[[f_basebuilding]:[f_basebuilding]]+tbl_Office_Multi[[f_tenancy]:[f_tenancy]])/2),0))))</f>
        <v>#DIV/0!</v>
      </c>
      <c r="DB4" s="36">
        <f>IF(LEFT(tbl_Office_Multi[[#Headers],[5.0* Max GE]],3)*1&gt;5,
(LEFT(tbl_Office_Multi[[#Headers],[5.0* Max GE]],3)-Office_C_Reverse_Star_Band_Residual_Adjustment-tbl_Office_Multi[[AEnergybeyond5stars]:[AEnergybeyond5stars]])/tbl_Office_Multi[[BEnergybeyond5stars gasMJ]:[BEnergybeyond5stars gasMJ]],
IF(tbl_Office_Multi[[Rating Type]:[Rating Type]]="Base Building",tbl_Office_Multi[[#This Row],[5.0* Max NGE]]/tbl_Office_Multi[[f_basebuilding]:[f_basebuilding]]-tbl_Office_Multi[[GEcorrclimate]:[GEcorrclimate]],
IF(tbl_Office_Multi[[Rating Type]:[Rating Type]]="Tenancy",tbl_Office_Multi[[#This Row],[5.0* Max NGE]]/tbl_Office_Multi[[f_tenancy]:[f_tenancy]]-tbl_Office_Multi[[GEcorrtenancy]:[GEcorrtenancy]],
IF(tbl_Office_Multi[[Rating Type]:[Rating Type]]="Whole Building",(tbl_Office_Multi[[#This Row],[5.0* Max NGE]]-tbl_Office_Multi[[f_tenancy]:[f_tenancy]]*tbl_Office_Multi[[GEcorrtenancy]:[GEcorrtenancy]]-tbl_Office_Multi[[f_basebuilding]:[f_basebuilding]]*tbl_Office_Multi[[GEcorrclimate]:[GEcorrclimate]])/((tbl_Office_Multi[[f_basebuilding]:[f_basebuilding]]+tbl_Office_Multi[[f_tenancy]:[f_tenancy]])/2),0))))</f>
        <v>0</v>
      </c>
      <c r="DC4" s="36">
        <f>IF(LEFT(tbl_Office_Multi[[#Headers],[4.5* Max GE]],3)*1&gt;5,
(LEFT(tbl_Office_Multi[[#Headers],[4.5* Max GE]],3)-Office_C_Reverse_Star_Band_Residual_Adjustment-tbl_Office_Multi[[AEnergybeyond5stars]:[AEnergybeyond5stars]])/tbl_Office_Multi[[BEnergybeyond5stars gasMJ]:[BEnergybeyond5stars gasMJ]],
IF(tbl_Office_Multi[[Rating Type]:[Rating Type]]="Base Building",tbl_Office_Multi[[#This Row],[4.5* Max NGE]]/tbl_Office_Multi[[f_basebuilding]:[f_basebuilding]]-tbl_Office_Multi[[GEcorrclimate]:[GEcorrclimate]],
IF(tbl_Office_Multi[[Rating Type]:[Rating Type]]="Tenancy",tbl_Office_Multi[[#This Row],[4.5* Max NGE]]/tbl_Office_Multi[[f_tenancy]:[f_tenancy]]-tbl_Office_Multi[[GEcorrtenancy]:[GEcorrtenancy]],
IF(tbl_Office_Multi[[Rating Type]:[Rating Type]]="Whole Building",(tbl_Office_Multi[[#This Row],[4.5* Max NGE]]-tbl_Office_Multi[[f_tenancy]:[f_tenancy]]*tbl_Office_Multi[[GEcorrtenancy]:[GEcorrtenancy]]-tbl_Office_Multi[[f_basebuilding]:[f_basebuilding]]*tbl_Office_Multi[[GEcorrclimate]:[GEcorrclimate]])/((tbl_Office_Multi[[f_basebuilding]:[f_basebuilding]]+tbl_Office_Multi[[f_tenancy]:[f_tenancy]])/2),0))))</f>
        <v>0</v>
      </c>
      <c r="DD4" s="36">
        <f>IF(LEFT(tbl_Office_Multi[[#Headers],[4.0* Max GE]],3)*1&gt;5,
(LEFT(tbl_Office_Multi[[#Headers],[4.0* Max GE]],3)-Office_C_Reverse_Star_Band_Residual_Adjustment-tbl_Office_Multi[[AEnergybeyond5stars]:[AEnergybeyond5stars]])/tbl_Office_Multi[[BEnergybeyond5stars gasMJ]:[BEnergybeyond5stars gasMJ]],
IF(tbl_Office_Multi[[Rating Type]:[Rating Type]]="Base Building",tbl_Office_Multi[[#This Row],[4.0* Max NGE]]/tbl_Office_Multi[[f_basebuilding]:[f_basebuilding]]-tbl_Office_Multi[[GEcorrclimate]:[GEcorrclimate]],
IF(tbl_Office_Multi[[Rating Type]:[Rating Type]]="Tenancy",tbl_Office_Multi[[#This Row],[4.0* Max NGE]]/tbl_Office_Multi[[f_tenancy]:[f_tenancy]]-tbl_Office_Multi[[GEcorrtenancy]:[GEcorrtenancy]],
IF(tbl_Office_Multi[[Rating Type]:[Rating Type]]="Whole Building",(tbl_Office_Multi[[#This Row],[4.0* Max NGE]]-tbl_Office_Multi[[f_tenancy]:[f_tenancy]]*tbl_Office_Multi[[GEcorrtenancy]:[GEcorrtenancy]]-tbl_Office_Multi[[f_basebuilding]:[f_basebuilding]]*tbl_Office_Multi[[GEcorrclimate]:[GEcorrclimate]])/((tbl_Office_Multi[[f_basebuilding]:[f_basebuilding]]+tbl_Office_Multi[[f_tenancy]:[f_tenancy]])/2),0))))</f>
        <v>0</v>
      </c>
      <c r="DE4" s="36">
        <f>IF(LEFT(tbl_Office_Multi[[#Headers],[3.5* Max GE]],3)*1&gt;5,
(LEFT(tbl_Office_Multi[[#Headers],[3.5* Max GE]],3)-Office_C_Reverse_Star_Band_Residual_Adjustment-tbl_Office_Multi[[AEnergybeyond5stars]:[AEnergybeyond5stars]])/tbl_Office_Multi[[BEnergybeyond5stars gasMJ]:[BEnergybeyond5stars gasMJ]],
IF(tbl_Office_Multi[[Rating Type]:[Rating Type]]="Base Building",tbl_Office_Multi[[#This Row],[3.5* Max NGE]]/tbl_Office_Multi[[f_basebuilding]:[f_basebuilding]]-tbl_Office_Multi[[GEcorrclimate]:[GEcorrclimate]],
IF(tbl_Office_Multi[[Rating Type]:[Rating Type]]="Tenancy",tbl_Office_Multi[[#This Row],[3.5* Max NGE]]/tbl_Office_Multi[[f_tenancy]:[f_tenancy]]-tbl_Office_Multi[[GEcorrtenancy]:[GEcorrtenancy]],
IF(tbl_Office_Multi[[Rating Type]:[Rating Type]]="Whole Building",(tbl_Office_Multi[[#This Row],[3.5* Max NGE]]-tbl_Office_Multi[[f_tenancy]:[f_tenancy]]*tbl_Office_Multi[[GEcorrtenancy]:[GEcorrtenancy]]-tbl_Office_Multi[[f_basebuilding]:[f_basebuilding]]*tbl_Office_Multi[[GEcorrclimate]:[GEcorrclimate]])/((tbl_Office_Multi[[f_basebuilding]:[f_basebuilding]]+tbl_Office_Multi[[f_tenancy]:[f_tenancy]])/2),0))))</f>
        <v>0</v>
      </c>
      <c r="DF4" s="36">
        <f>IF(LEFT(tbl_Office_Multi[[#Headers],[3.0* Max GE]],3)*1&gt;5,
(LEFT(tbl_Office_Multi[[#Headers],[3.0* Max GE]],3)-Office_C_Reverse_Star_Band_Residual_Adjustment-tbl_Office_Multi[[AEnergybeyond5stars]:[AEnergybeyond5stars]])/tbl_Office_Multi[[BEnergybeyond5stars gasMJ]:[BEnergybeyond5stars gasMJ]],
IF(tbl_Office_Multi[[Rating Type]:[Rating Type]]="Base Building",tbl_Office_Multi[[#This Row],[3.0* Max NGE]]/tbl_Office_Multi[[f_basebuilding]:[f_basebuilding]]-tbl_Office_Multi[[GEcorrclimate]:[GEcorrclimate]],
IF(tbl_Office_Multi[[Rating Type]:[Rating Type]]="Tenancy",tbl_Office_Multi[[#This Row],[3.0* Max NGE]]/tbl_Office_Multi[[f_tenancy]:[f_tenancy]]-tbl_Office_Multi[[GEcorrtenancy]:[GEcorrtenancy]],
IF(tbl_Office_Multi[[Rating Type]:[Rating Type]]="Whole Building",(tbl_Office_Multi[[#This Row],[3.0* Max NGE]]-tbl_Office_Multi[[f_tenancy]:[f_tenancy]]*tbl_Office_Multi[[GEcorrtenancy]:[GEcorrtenancy]]-tbl_Office_Multi[[f_basebuilding]:[f_basebuilding]]*tbl_Office_Multi[[GEcorrclimate]:[GEcorrclimate]])/((tbl_Office_Multi[[f_basebuilding]:[f_basebuilding]]+tbl_Office_Multi[[f_tenancy]:[f_tenancy]])/2),0))))</f>
        <v>0</v>
      </c>
      <c r="DG4" s="36">
        <f>IF(LEFT(tbl_Office_Multi[[#Headers],[2.5* Max GE]],3)*1&gt;5,
(LEFT(tbl_Office_Multi[[#Headers],[2.5* Max GE]],3)-Office_C_Reverse_Star_Band_Residual_Adjustment-tbl_Office_Multi[[AEnergybeyond5stars]:[AEnergybeyond5stars]])/tbl_Office_Multi[[BEnergybeyond5stars gasMJ]:[BEnergybeyond5stars gasMJ]],
IF(tbl_Office_Multi[[Rating Type]:[Rating Type]]="Base Building",tbl_Office_Multi[[#This Row],[2.5* Max NGE]]/tbl_Office_Multi[[f_basebuilding]:[f_basebuilding]]-tbl_Office_Multi[[GEcorrclimate]:[GEcorrclimate]],
IF(tbl_Office_Multi[[Rating Type]:[Rating Type]]="Tenancy",tbl_Office_Multi[[#This Row],[2.5* Max NGE]]/tbl_Office_Multi[[f_tenancy]:[f_tenancy]]-tbl_Office_Multi[[GEcorrtenancy]:[GEcorrtenancy]],
IF(tbl_Office_Multi[[Rating Type]:[Rating Type]]="Whole Building",(tbl_Office_Multi[[#This Row],[2.5* Max NGE]]-tbl_Office_Multi[[f_tenancy]:[f_tenancy]]*tbl_Office_Multi[[GEcorrtenancy]:[GEcorrtenancy]]-tbl_Office_Multi[[f_basebuilding]:[f_basebuilding]]*tbl_Office_Multi[[GEcorrclimate]:[GEcorrclimate]])/((tbl_Office_Multi[[f_basebuilding]:[f_basebuilding]]+tbl_Office_Multi[[f_tenancy]:[f_tenancy]])/2),0))))</f>
        <v>0</v>
      </c>
      <c r="DH4" s="36">
        <f>IF(LEFT(tbl_Office_Multi[[#Headers],[2.0* Max GE]],3)*1&gt;5,
(LEFT(tbl_Office_Multi[[#Headers],[2.0* Max GE]],3)-Office_C_Reverse_Star_Band_Residual_Adjustment-tbl_Office_Multi[[AEnergybeyond5stars]:[AEnergybeyond5stars]])/tbl_Office_Multi[[BEnergybeyond5stars gasMJ]:[BEnergybeyond5stars gasMJ]],
IF(tbl_Office_Multi[[Rating Type]:[Rating Type]]="Base Building",tbl_Office_Multi[[#This Row],[2.0* Max NGE]]/tbl_Office_Multi[[f_basebuilding]:[f_basebuilding]]-tbl_Office_Multi[[GEcorrclimate]:[GEcorrclimate]],
IF(tbl_Office_Multi[[Rating Type]:[Rating Type]]="Tenancy",tbl_Office_Multi[[#This Row],[2.0* Max NGE]]/tbl_Office_Multi[[f_tenancy]:[f_tenancy]]-tbl_Office_Multi[[GEcorrtenancy]:[GEcorrtenancy]],
IF(tbl_Office_Multi[[Rating Type]:[Rating Type]]="Whole Building",(tbl_Office_Multi[[#This Row],[2.0* Max NGE]]-tbl_Office_Multi[[f_tenancy]:[f_tenancy]]*tbl_Office_Multi[[GEcorrtenancy]:[GEcorrtenancy]]-tbl_Office_Multi[[f_basebuilding]:[f_basebuilding]]*tbl_Office_Multi[[GEcorrclimate]:[GEcorrclimate]])/((tbl_Office_Multi[[f_basebuilding]:[f_basebuilding]]+tbl_Office_Multi[[f_tenancy]:[f_tenancy]])/2),0))))</f>
        <v>0</v>
      </c>
      <c r="DI4" s="36">
        <f>IF(LEFT(tbl_Office_Multi[[#Headers],[1.5* Max GE]],3)*1&gt;5,
(LEFT(tbl_Office_Multi[[#Headers],[1.5* Max GE]],3)-Office_C_Reverse_Star_Band_Residual_Adjustment-tbl_Office_Multi[[AEnergybeyond5stars]:[AEnergybeyond5stars]])/tbl_Office_Multi[[BEnergybeyond5stars gasMJ]:[BEnergybeyond5stars gasMJ]],
IF(tbl_Office_Multi[[Rating Type]:[Rating Type]]="Base Building",tbl_Office_Multi[[#This Row],[1.5* Max NGE]]/tbl_Office_Multi[[f_basebuilding]:[f_basebuilding]]-tbl_Office_Multi[[GEcorrclimate]:[GEcorrclimate]],
IF(tbl_Office_Multi[[Rating Type]:[Rating Type]]="Tenancy",tbl_Office_Multi[[#This Row],[1.5* Max NGE]]/tbl_Office_Multi[[f_tenancy]:[f_tenancy]]-tbl_Office_Multi[[GEcorrtenancy]:[GEcorrtenancy]],
IF(tbl_Office_Multi[[Rating Type]:[Rating Type]]="Whole Building",(tbl_Office_Multi[[#This Row],[1.5* Max NGE]]-tbl_Office_Multi[[f_tenancy]:[f_tenancy]]*tbl_Office_Multi[[GEcorrtenancy]:[GEcorrtenancy]]-tbl_Office_Multi[[f_basebuilding]:[f_basebuilding]]*tbl_Office_Multi[[GEcorrclimate]:[GEcorrclimate]])/((tbl_Office_Multi[[f_basebuilding]:[f_basebuilding]]+tbl_Office_Multi[[f_tenancy]:[f_tenancy]])/2),0))))</f>
        <v>0</v>
      </c>
      <c r="DJ4" s="36">
        <f>IF(LEFT(tbl_Office_Multi[[#Headers],[1.0* Max GE]],3)*1&gt;5,
(LEFT(tbl_Office_Multi[[#Headers],[1.0* Max GE]],3)-Office_C_Reverse_Star_Band_Residual_Adjustment-tbl_Office_Multi[[AEnergybeyond5stars]:[AEnergybeyond5stars]])/tbl_Office_Multi[[BEnergybeyond5stars gasMJ]:[BEnergybeyond5stars gasMJ]],
IF(tbl_Office_Multi[[Rating Type]:[Rating Type]]="Base Building",tbl_Office_Multi[[#This Row],[1.0* Max NGE]]/tbl_Office_Multi[[f_basebuilding]:[f_basebuilding]]-tbl_Office_Multi[[GEcorrclimate]:[GEcorrclimate]],
IF(tbl_Office_Multi[[Rating Type]:[Rating Type]]="Tenancy",tbl_Office_Multi[[#This Row],[1.0* Max NGE]]/tbl_Office_Multi[[f_tenancy]:[f_tenancy]]-tbl_Office_Multi[[GEcorrtenancy]:[GEcorrtenancy]],
IF(tbl_Office_Multi[[Rating Type]:[Rating Type]]="Whole Building",(tbl_Office_Multi[[#This Row],[1.0* Max NGE]]-tbl_Office_Multi[[f_tenancy]:[f_tenancy]]*tbl_Office_Multi[[GEcorrtenancy]:[GEcorrtenancy]]-tbl_Office_Multi[[f_basebuilding]:[f_basebuilding]]*tbl_Office_Multi[[GEcorrclimate]:[GEcorrclimate]])/((tbl_Office_Multi[[f_basebuilding]:[f_basebuilding]]+tbl_Office_Multi[[f_tenancy]:[f_tenancy]])/2),0))))</f>
        <v>0</v>
      </c>
      <c r="DK4" s="36">
        <f>IF(LEFT(tbl_Office_Multi[[#Headers],[0.0* Max GE]],3)*1&gt;5,
(LEFT(tbl_Office_Multi[[#Headers],[0.0* Max GE]],3)-Office_C_Reverse_Star_Band_Residual_Adjustment-tbl_Office_Multi[[AEnergybeyond5stars]:[AEnergybeyond5stars]])/tbl_Office_Multi[[BEnergybeyond5stars gasMJ]:[BEnergybeyond5stars gasMJ]],
IF(tbl_Office_Multi[[Rating Type]:[Rating Type]]="Base Building",tbl_Office_Multi[[#This Row],[0.0* Max NGE]]/tbl_Office_Multi[[f_basebuilding]:[f_basebuilding]]-tbl_Office_Multi[[GEcorrclimate]:[GEcorrclimate]],
IF(tbl_Office_Multi[[Rating Type]:[Rating Type]]="Tenancy",tbl_Office_Multi[[#This Row],[0.0* Max NGE]]/tbl_Office_Multi[[f_tenancy]:[f_tenancy]]-tbl_Office_Multi[[GEcorrtenancy]:[GEcorrtenancy]],
IF(tbl_Office_Multi[[Rating Type]:[Rating Type]]="Whole Building",(tbl_Office_Multi[[#This Row],[0.0* Max NGE]]-tbl_Office_Multi[[f_tenancy]:[f_tenancy]]*tbl_Office_Multi[[GEcorrtenancy]:[GEcorrtenancy]]-tbl_Office_Multi[[f_basebuilding]:[f_basebuilding]]*tbl_Office_Multi[[GEcorrclimate]:[GEcorrclimate]])/((tbl_Office_Multi[[f_basebuilding]:[f_basebuilding]]+tbl_Office_Multi[[f_tenancy]:[f_tenancy]])/2),0))))</f>
        <v>0</v>
      </c>
      <c r="DL4" s="44" t="e">
        <f>tbl_Office_Multi[[#This Row],[6.0* Max GE]]*tbl_Office_Multi[[NLA]:[NLA]]</f>
        <v>#DIV/0!</v>
      </c>
      <c r="DM4" s="44" t="e">
        <f>tbl_Office_Multi[[#This Row],[5.5* Max GE]]*tbl_Office_Multi[[NLA]:[NLA]]</f>
        <v>#DIV/0!</v>
      </c>
      <c r="DN4" s="44">
        <f>tbl_Office_Multi[[#This Row],[5.0* Max GE]]*tbl_Office_Multi[[NLA]:[NLA]]</f>
        <v>0</v>
      </c>
      <c r="DO4" s="44">
        <f>tbl_Office_Multi[[#This Row],[4.5* Max GE]]*tbl_Office_Multi[[NLA]:[NLA]]</f>
        <v>0</v>
      </c>
      <c r="DP4" s="44">
        <f>tbl_Office_Multi[[#This Row],[4.0* Max GE]]*tbl_Office_Multi[[NLA]:[NLA]]</f>
        <v>0</v>
      </c>
      <c r="DQ4" s="44">
        <f>tbl_Office_Multi[[#This Row],[3.5* Max GE]]*tbl_Office_Multi[[NLA]:[NLA]]</f>
        <v>0</v>
      </c>
      <c r="DR4" s="44">
        <f>tbl_Office_Multi[[#This Row],[3.0* Max GE]]*tbl_Office_Multi[[NLA]:[NLA]]</f>
        <v>0</v>
      </c>
      <c r="DS4" s="44">
        <f>tbl_Office_Multi[[#This Row],[2.5* Max GE]]*tbl_Office_Multi[[NLA]:[NLA]]</f>
        <v>0</v>
      </c>
      <c r="DT4" s="44">
        <f>tbl_Office_Multi[[#This Row],[2.0* Max GE]]*tbl_Office_Multi[[NLA]:[NLA]]</f>
        <v>0</v>
      </c>
      <c r="DU4" s="44">
        <f>tbl_Office_Multi[[#This Row],[1.5* Max GE]]*tbl_Office_Multi[[NLA]:[NLA]]</f>
        <v>0</v>
      </c>
      <c r="DV4" s="44">
        <f>tbl_Office_Multi[[#This Row],[1.0* Max GE]]*tbl_Office_Multi[[NLA]:[NLA]]</f>
        <v>0</v>
      </c>
      <c r="DW4" s="44">
        <f>tbl_Office_Multi[[#This Row],[0.0* Max GE]]*tbl_Office_Multi[[NLA]:[NLA]]</f>
        <v>0</v>
      </c>
      <c r="DX4" s="44" t="e">
        <f>tbl_Office_Multi[[#This Row],[6.0* Max CO2]]/tbl_Office_Multi[[EffGHGMJ]:[EffGHGMJ]]</f>
        <v>#DIV/0!</v>
      </c>
      <c r="DY4" s="44" t="e">
        <f>tbl_Office_Multi[[#This Row],[5.5* Max CO2]]/tbl_Office_Multi[[EffGHGMJ]:[EffGHGMJ]]</f>
        <v>#DIV/0!</v>
      </c>
      <c r="DZ4" s="44" t="e">
        <f>tbl_Office_Multi[[#This Row],[5.0* Max CO2]]/tbl_Office_Multi[[EffGHGMJ]:[EffGHGMJ]]</f>
        <v>#DIV/0!</v>
      </c>
      <c r="EA4" s="44" t="e">
        <f>tbl_Office_Multi[[#This Row],[4.5* Max CO2]]/tbl_Office_Multi[[EffGHGMJ]:[EffGHGMJ]]</f>
        <v>#DIV/0!</v>
      </c>
      <c r="EB4" s="44" t="e">
        <f>tbl_Office_Multi[[#This Row],[4.0* Max CO2]]/tbl_Office_Multi[[EffGHGMJ]:[EffGHGMJ]]</f>
        <v>#DIV/0!</v>
      </c>
      <c r="EC4" s="44" t="e">
        <f>tbl_Office_Multi[[#This Row],[3.5* Max CO2]]/tbl_Office_Multi[[EffGHGMJ]:[EffGHGMJ]]</f>
        <v>#DIV/0!</v>
      </c>
      <c r="ED4" s="44" t="e">
        <f>tbl_Office_Multi[[#This Row],[3.0* Max CO2]]/tbl_Office_Multi[[EffGHGMJ]:[EffGHGMJ]]</f>
        <v>#DIV/0!</v>
      </c>
      <c r="EE4" s="44" t="e">
        <f>tbl_Office_Multi[[#This Row],[2.5* Max CO2]]/tbl_Office_Multi[[EffGHGMJ]:[EffGHGMJ]]</f>
        <v>#DIV/0!</v>
      </c>
      <c r="EF4" s="44" t="e">
        <f>tbl_Office_Multi[[#This Row],[2.0* Max CO2]]/tbl_Office_Multi[[EffGHGMJ]:[EffGHGMJ]]</f>
        <v>#DIV/0!</v>
      </c>
      <c r="EG4" s="44" t="e">
        <f>tbl_Office_Multi[[#This Row],[1.5* Max CO2]]/tbl_Office_Multi[[EffGHGMJ]:[EffGHGMJ]]</f>
        <v>#DIV/0!</v>
      </c>
      <c r="EH4" s="44" t="e">
        <f>tbl_Office_Multi[[#This Row],[1.0* Max CO2]]/tbl_Office_Multi[[EffGHGMJ]:[EffGHGMJ]]</f>
        <v>#DIV/0!</v>
      </c>
      <c r="EI4" s="44" t="e">
        <f>tbl_Office_Multi[[#This Row],[0.0* Max CO2]]/tbl_Office_Multi[[EffGHGMJ]:[EffGHGMJ]]</f>
        <v>#DIV/0!</v>
      </c>
      <c r="EJ4" s="44" t="e">
        <f>ROUNDDOWN(tbl_Office_Multi[[#This Row],[6.0* Max Energy (MJ)]]*tbl_Office_Multi[[Electricity (%)]:[Electricity (%)]]/tbl_Office_Multi[[CFelec]:[CFelec]],0)</f>
        <v>#DIV/0!</v>
      </c>
      <c r="EK4" s="44" t="e">
        <f>ROUNDDOWN(tbl_Office_Multi[[#This Row],[5.5* Max Energy (MJ)]]*tbl_Office_Multi[[Electricity (%)]:[Electricity (%)]]/tbl_Office_Multi[[CFelec]:[CFelec]],0)</f>
        <v>#DIV/0!</v>
      </c>
      <c r="EL4" s="44" t="e">
        <f>ROUNDDOWN(tbl_Office_Multi[[#This Row],[5.0* Max Energy (MJ)]]*tbl_Office_Multi[[Electricity (%)]:[Electricity (%)]]/tbl_Office_Multi[[CFelec]:[CFelec]],0)</f>
        <v>#DIV/0!</v>
      </c>
      <c r="EM4" s="44" t="e">
        <f>ROUNDDOWN(tbl_Office_Multi[[#This Row],[4.5* Max Energy (MJ)]]*tbl_Office_Multi[[Electricity (%)]:[Electricity (%)]]/tbl_Office_Multi[[CFelec]:[CFelec]],0)</f>
        <v>#DIV/0!</v>
      </c>
      <c r="EN4" s="44" t="e">
        <f>ROUNDDOWN(tbl_Office_Multi[[#This Row],[4.0* Max Energy (MJ)]]*tbl_Office_Multi[[Electricity (%)]:[Electricity (%)]]/tbl_Office_Multi[[CFelec]:[CFelec]],0)</f>
        <v>#DIV/0!</v>
      </c>
      <c r="EO4" s="44" t="e">
        <f>ROUNDDOWN(tbl_Office_Multi[[#This Row],[3.5* Max Energy (MJ)]]*tbl_Office_Multi[[Electricity (%)]:[Electricity (%)]]/tbl_Office_Multi[[CFelec]:[CFelec]],0)</f>
        <v>#DIV/0!</v>
      </c>
      <c r="EP4" s="44" t="e">
        <f>ROUNDDOWN(tbl_Office_Multi[[#This Row],[3.0* Max Energy (MJ)]]*tbl_Office_Multi[[Electricity (%)]:[Electricity (%)]]/tbl_Office_Multi[[CFelec]:[CFelec]],0)</f>
        <v>#DIV/0!</v>
      </c>
      <c r="EQ4" s="44" t="e">
        <f>ROUNDDOWN(tbl_Office_Multi[[#This Row],[2.5* Max Energy (MJ)]]*tbl_Office_Multi[[Electricity (%)]:[Electricity (%)]]/tbl_Office_Multi[[CFelec]:[CFelec]],0)</f>
        <v>#DIV/0!</v>
      </c>
      <c r="ER4" s="44" t="e">
        <f>ROUNDDOWN(tbl_Office_Multi[[#This Row],[2.0* Max Energy (MJ)]]*tbl_Office_Multi[[Electricity (%)]:[Electricity (%)]]/tbl_Office_Multi[[CFelec]:[CFelec]],0)</f>
        <v>#DIV/0!</v>
      </c>
      <c r="ES4" s="44" t="e">
        <f>ROUNDDOWN(tbl_Office_Multi[[#This Row],[1.5* Max Energy (MJ)]]*tbl_Office_Multi[[Electricity (%)]:[Electricity (%)]]/tbl_Office_Multi[[CFelec]:[CFelec]],0)</f>
        <v>#DIV/0!</v>
      </c>
      <c r="ET4" s="44" t="e">
        <f>ROUNDDOWN(tbl_Office_Multi[[#This Row],[1.0* Max Energy (MJ)]]*tbl_Office_Multi[[Electricity (%)]:[Electricity (%)]]/tbl_Office_Multi[[CFelec]:[CFelec]],0)</f>
        <v>#DIV/0!</v>
      </c>
      <c r="EU4" s="44" t="e">
        <f>ROUNDDOWN(tbl_Office_Multi[[#This Row],[0.0* Max Energy (MJ)]]*tbl_Office_Multi[[Electricity (%)]:[Electricity (%)]]/tbl_Office_Multi[[CFelec]:[CFelec]],0)</f>
        <v>#DIV/0!</v>
      </c>
      <c r="EV4" s="44" t="e">
        <f>ROUNDDOWN(tbl_Office_Multi[[#This Row],[6.0* Max Energy (MJ)]]*tbl_Office_Multi[[Gas (%)]:[Gas (%)]],0)</f>
        <v>#DIV/0!</v>
      </c>
      <c r="EW4" s="44" t="e">
        <f>ROUNDDOWN(tbl_Office_Multi[[#This Row],[5.5* Max Energy (MJ)]]*tbl_Office_Multi[[Gas (%)]:[Gas (%)]],0)</f>
        <v>#DIV/0!</v>
      </c>
      <c r="EX4" s="44" t="e">
        <f>ROUNDDOWN(tbl_Office_Multi[[#This Row],[5.0* Max Energy (MJ)]]*tbl_Office_Multi[[Gas (%)]:[Gas (%)]],0)</f>
        <v>#DIV/0!</v>
      </c>
      <c r="EY4" s="44" t="e">
        <f>ROUNDDOWN(tbl_Office_Multi[[#This Row],[4.5* Max Energy (MJ)]]*tbl_Office_Multi[[Gas (%)]:[Gas (%)]],0)</f>
        <v>#DIV/0!</v>
      </c>
      <c r="EZ4" s="44" t="e">
        <f>ROUNDDOWN(tbl_Office_Multi[[#This Row],[4.0* Max Energy (MJ)]]*tbl_Office_Multi[[Gas (%)]:[Gas (%)]],0)</f>
        <v>#DIV/0!</v>
      </c>
      <c r="FA4" s="44" t="e">
        <f>ROUNDDOWN(tbl_Office_Multi[[#This Row],[3.5* Max Energy (MJ)]]*tbl_Office_Multi[[Gas (%)]:[Gas (%)]],0)</f>
        <v>#DIV/0!</v>
      </c>
      <c r="FB4" s="44" t="e">
        <f>ROUNDDOWN(tbl_Office_Multi[[#This Row],[3.0* Max Energy (MJ)]]*tbl_Office_Multi[[Gas (%)]:[Gas (%)]],0)</f>
        <v>#DIV/0!</v>
      </c>
      <c r="FC4" s="44" t="e">
        <f>ROUNDDOWN(tbl_Office_Multi[[#This Row],[2.5* Max Energy (MJ)]]*tbl_Office_Multi[[Gas (%)]:[Gas (%)]],0)</f>
        <v>#DIV/0!</v>
      </c>
      <c r="FD4" s="44" t="e">
        <f>ROUNDDOWN(tbl_Office_Multi[[#This Row],[2.0* Max Energy (MJ)]]*tbl_Office_Multi[[Gas (%)]:[Gas (%)]],0)</f>
        <v>#DIV/0!</v>
      </c>
      <c r="FE4" s="44" t="e">
        <f>ROUNDDOWN(tbl_Office_Multi[[#This Row],[1.5* Max Energy (MJ)]]*tbl_Office_Multi[[Gas (%)]:[Gas (%)]],0)</f>
        <v>#DIV/0!</v>
      </c>
      <c r="FF4" s="44" t="e">
        <f>ROUNDDOWN(tbl_Office_Multi[[#This Row],[1.0* Max Energy (MJ)]]*tbl_Office_Multi[[Gas (%)]:[Gas (%)]],0)</f>
        <v>#DIV/0!</v>
      </c>
      <c r="FG4" s="44" t="e">
        <f>ROUNDDOWN(tbl_Office_Multi[[#This Row],[0.0* Max Energy (MJ)]]*tbl_Office_Multi[[Gas (%)]:[Gas (%)]],0)</f>
        <v>#DIV/0!</v>
      </c>
      <c r="FH4" s="44" t="e">
        <f>ROUNDDOWN(tbl_Office_Multi[[#This Row],[6.0* Max Energy (MJ)]]*tbl_Office_Multi[[Diesel (%)]:[Diesel (%)]]/tbl_Office_Multi[[CFdiesel]:[CFdiesel]],0)</f>
        <v>#DIV/0!</v>
      </c>
      <c r="FI4" s="44" t="e">
        <f>ROUNDDOWN(tbl_Office_Multi[[#This Row],[5.5* Max Energy (MJ)]]*tbl_Office_Multi[[Diesel (%)]:[Diesel (%)]]/tbl_Office_Multi[[CFdiesel]:[CFdiesel]],0)</f>
        <v>#DIV/0!</v>
      </c>
      <c r="FJ4" s="44" t="e">
        <f>ROUNDDOWN(tbl_Office_Multi[[#This Row],[5.0* Max Energy (MJ)]]*tbl_Office_Multi[[Diesel (%)]:[Diesel (%)]]/tbl_Office_Multi[[CFdiesel]:[CFdiesel]],0)</f>
        <v>#DIV/0!</v>
      </c>
      <c r="FK4" s="44" t="e">
        <f>ROUNDDOWN(tbl_Office_Multi[[#This Row],[4.5* Max Energy (MJ)]]*tbl_Office_Multi[[Diesel (%)]:[Diesel (%)]]/tbl_Office_Multi[[CFdiesel]:[CFdiesel]],0)</f>
        <v>#DIV/0!</v>
      </c>
      <c r="FL4" s="44" t="e">
        <f>ROUNDDOWN(tbl_Office_Multi[[#This Row],[4.0* Max Energy (MJ)]]*tbl_Office_Multi[[Diesel (%)]:[Diesel (%)]]/tbl_Office_Multi[[CFdiesel]:[CFdiesel]],0)</f>
        <v>#DIV/0!</v>
      </c>
      <c r="FM4" s="44" t="e">
        <f>ROUNDDOWN(tbl_Office_Multi[[#This Row],[3.5* Max Energy (MJ)]]*tbl_Office_Multi[[Diesel (%)]:[Diesel (%)]]/tbl_Office_Multi[[CFdiesel]:[CFdiesel]],0)</f>
        <v>#DIV/0!</v>
      </c>
      <c r="FN4" s="44" t="e">
        <f>ROUNDDOWN(tbl_Office_Multi[[#This Row],[3.0* Max Energy (MJ)]]*tbl_Office_Multi[[Diesel (%)]:[Diesel (%)]]/tbl_Office_Multi[[CFdiesel]:[CFdiesel]],0)</f>
        <v>#DIV/0!</v>
      </c>
      <c r="FO4" s="44" t="e">
        <f>ROUNDDOWN(tbl_Office_Multi[[#This Row],[2.5* Max Energy (MJ)]]*tbl_Office_Multi[[Diesel (%)]:[Diesel (%)]]/tbl_Office_Multi[[CFdiesel]:[CFdiesel]],0)</f>
        <v>#DIV/0!</v>
      </c>
      <c r="FP4" s="44" t="e">
        <f>ROUNDDOWN(tbl_Office_Multi[[#This Row],[2.0* Max Energy (MJ)]]*tbl_Office_Multi[[Diesel (%)]:[Diesel (%)]]/tbl_Office_Multi[[CFdiesel]:[CFdiesel]],0)</f>
        <v>#DIV/0!</v>
      </c>
      <c r="FQ4" s="44" t="e">
        <f>ROUNDDOWN(tbl_Office_Multi[[#This Row],[1.5* Max Energy (MJ)]]*tbl_Office_Multi[[Diesel (%)]:[Diesel (%)]]/tbl_Office_Multi[[CFdiesel]:[CFdiesel]],0)</f>
        <v>#DIV/0!</v>
      </c>
      <c r="FR4" s="44" t="e">
        <f>ROUNDDOWN(tbl_Office_Multi[[#This Row],[1.0* Max Energy (MJ)]]*tbl_Office_Multi[[Diesel (%)]:[Diesel (%)]]/tbl_Office_Multi[[CFdiesel]:[CFdiesel]],0)</f>
        <v>#DIV/0!</v>
      </c>
      <c r="FS4" s="44" t="e">
        <f>ROUNDDOWN(tbl_Office_Multi[[#This Row],[0.0* Max Energy (MJ)]]*tbl_Office_Multi[[Diesel (%)]:[Diesel (%)]]/tbl_Office_Multi[[CFdiesel]:[CFdiesel]],0)</f>
        <v>#DIV/0!</v>
      </c>
      <c r="FT4" s="48" t="str">
        <f>IF(LEFT(tbl_Office_Multi[[#Headers],[6.0* w1]],3)*1&lt;=5,tbl_Office_Multi[[M star]:[M star]]-((LEFT(tbl_Office_Multi[[#Headers],[6.0* w1]],3)*1-IF(LEFT(tbl_Office_Multi[[#Headers],[6.0* w1]],3)*1=5,Office_C_W_R_star_rating_offset_at_5_stars,Office_C_W_R_star_rating_offset))/Office_C_W_Median_Rating-1)*(tbl_Office_Multi[[M star]:[M star]]-tbl_Office_Multi[[Alpha star]:[Alpha star]]),"N/A")</f>
        <v>N/A</v>
      </c>
      <c r="FU4" s="48" t="str">
        <f>IF(LEFT(tbl_Office_Multi[[#Headers],[5.5* w1]],3)*1&lt;=5,tbl_Office_Multi[[M star]:[M star]]-((LEFT(tbl_Office_Multi[[#Headers],[5.5* w1]],3)*1-IF(LEFT(tbl_Office_Multi[[#Headers],[5.5* w1]],3)*1=5,Office_C_W_R_star_rating_offset_at_5_stars,Office_C_W_R_star_rating_offset))/Office_C_W_Median_Rating-1)*(tbl_Office_Multi[[M star]:[M star]]-tbl_Office_Multi[[Alpha star]:[Alpha star]]),"N/A")</f>
        <v>N/A</v>
      </c>
      <c r="FV4" s="48" t="e">
        <f>IF(LEFT(tbl_Office_Multi[[#Headers],[5.0* w1]],3)*1&lt;=5,tbl_Office_Multi[[M star]:[M star]]-((LEFT(tbl_Office_Multi[[#Headers],[5.0* w1]],3)*1-IF(LEFT(tbl_Office_Multi[[#Headers],[5.0* w1]],3)*1=5,Office_C_W_R_star_rating_offset_at_5_stars,Office_C_W_R_star_rating_offset))/Office_C_W_Median_Rating-1)*(tbl_Office_Multi[[M star]:[M star]]-tbl_Office_Multi[[Alpha star]:[Alpha star]]),"N/A")</f>
        <v>#N/A</v>
      </c>
      <c r="FW4" s="48" t="e">
        <f>IF(LEFT(tbl_Office_Multi[[#Headers],[4.5* w1]],3)*1&lt;=5,tbl_Office_Multi[[M star]:[M star]]-((LEFT(tbl_Office_Multi[[#Headers],[4.5* w1]],3)*1-IF(LEFT(tbl_Office_Multi[[#Headers],[4.5* w1]],3)*1=5,Office_C_W_R_star_rating_offset_at_5_stars,Office_C_W_R_star_rating_offset))/Office_C_W_Median_Rating-1)*(tbl_Office_Multi[[M star]:[M star]]-tbl_Office_Multi[[Alpha star]:[Alpha star]]),"N/A")</f>
        <v>#N/A</v>
      </c>
      <c r="FX4" s="48" t="e">
        <f>IF(LEFT(tbl_Office_Multi[[#Headers],[4.0* w1]],3)*1&lt;=5,tbl_Office_Multi[[M star]:[M star]]-((LEFT(tbl_Office_Multi[[#Headers],[4.0* w1]],3)*1-IF(LEFT(tbl_Office_Multi[[#Headers],[4.0* w1]],3)*1=5,Office_C_W_R_star_rating_offset_at_5_stars,Office_C_W_R_star_rating_offset))/Office_C_W_Median_Rating-1)*(tbl_Office_Multi[[M star]:[M star]]-tbl_Office_Multi[[Alpha star]:[Alpha star]]),"N/A")</f>
        <v>#N/A</v>
      </c>
      <c r="FY4" s="48" t="e">
        <f>IF(LEFT(tbl_Office_Multi[[#Headers],[3.5* w1]],3)*1&lt;=5,tbl_Office_Multi[[M star]:[M star]]-((LEFT(tbl_Office_Multi[[#Headers],[3.5* w1]],3)*1-IF(LEFT(tbl_Office_Multi[[#Headers],[3.5* w1]],3)*1=5,Office_C_W_R_star_rating_offset_at_5_stars,Office_C_W_R_star_rating_offset))/Office_C_W_Median_Rating-1)*(tbl_Office_Multi[[M star]:[M star]]-tbl_Office_Multi[[Alpha star]:[Alpha star]]),"N/A")</f>
        <v>#N/A</v>
      </c>
      <c r="FZ4" s="48" t="e">
        <f>IF(LEFT(tbl_Office_Multi[[#Headers],[3.0* w1]],3)*1&lt;=5,tbl_Office_Multi[[M star]:[M star]]-((LEFT(tbl_Office_Multi[[#Headers],[3.0* w1]],3)*1-IF(LEFT(tbl_Office_Multi[[#Headers],[3.0* w1]],3)*1=5,Office_C_W_R_star_rating_offset_at_5_stars,Office_C_W_R_star_rating_offset))/Office_C_W_Median_Rating-1)*(tbl_Office_Multi[[M star]:[M star]]-tbl_Office_Multi[[Alpha star]:[Alpha star]]),"N/A")</f>
        <v>#N/A</v>
      </c>
      <c r="GA4" s="48" t="e">
        <f>IF(LEFT(tbl_Office_Multi[[#Headers],[2.5* w1]],3)*1&lt;=5,tbl_Office_Multi[[M star]:[M star]]-((LEFT(tbl_Office_Multi[[#Headers],[2.5* w1]],3)*1-IF(LEFT(tbl_Office_Multi[[#Headers],[2.5* w1]],3)*1=5,Office_C_W_R_star_rating_offset_at_5_stars,Office_C_W_R_star_rating_offset))/Office_C_W_Median_Rating-1)*(tbl_Office_Multi[[M star]:[M star]]-tbl_Office_Multi[[Alpha star]:[Alpha star]]),"N/A")</f>
        <v>#N/A</v>
      </c>
      <c r="GB4" s="48" t="e">
        <f>IF(LEFT(tbl_Office_Multi[[#Headers],[2.0* w1]],3)*1&lt;=5,tbl_Office_Multi[[M star]:[M star]]-((LEFT(tbl_Office_Multi[[#Headers],[2.0* w1]],3)*1-IF(LEFT(tbl_Office_Multi[[#Headers],[2.0* w1]],3)*1=5,Office_C_W_R_star_rating_offset_at_5_stars,Office_C_W_R_star_rating_offset))/Office_C_W_Median_Rating-1)*(tbl_Office_Multi[[M star]:[M star]]-tbl_Office_Multi[[Alpha star]:[Alpha star]]),"N/A")</f>
        <v>#N/A</v>
      </c>
      <c r="GC4" s="48" t="e">
        <f>IF(LEFT(tbl_Office_Multi[[#Headers],[1.5* w1]],3)*1&lt;=5,tbl_Office_Multi[[M star]:[M star]]-((LEFT(tbl_Office_Multi[[#Headers],[1.5* w1]],3)*1-IF(LEFT(tbl_Office_Multi[[#Headers],[1.5* w1]],3)*1=5,Office_C_W_R_star_rating_offset_at_5_stars,Office_C_W_R_star_rating_offset))/Office_C_W_Median_Rating-1)*(tbl_Office_Multi[[M star]:[M star]]-tbl_Office_Multi[[Alpha star]:[Alpha star]]),"N/A")</f>
        <v>#N/A</v>
      </c>
      <c r="GD4" s="48" t="e">
        <f>IF(LEFT(tbl_Office_Multi[[#Headers],[1.0* w1]],3)*1&lt;=5,tbl_Office_Multi[[M star]:[M star]]-((LEFT(tbl_Office_Multi[[#Headers],[1.0* w1]],3)*1-IF(LEFT(tbl_Office_Multi[[#Headers],[1.0* w1]],3)*1=5,Office_C_W_R_star_rating_offset_at_5_stars,Office_C_W_R_star_rating_offset))/Office_C_W_Median_Rating-1)*(tbl_Office_Multi[[M star]:[M star]]-tbl_Office_Multi[[Alpha star]:[Alpha star]]),"N/A")</f>
        <v>#N/A</v>
      </c>
      <c r="GE4" s="48" t="e">
        <f>IF(LEFT(tbl_Office_Multi[[#Headers],[0.0* w1]],3)*1&lt;=5,tbl_Office_Multi[[M star]:[M star]]-((LEFT(tbl_Office_Multi[[#Headers],[0.0* w1]],3)*1-IF(LEFT(tbl_Office_Multi[[#Headers],[0.0* w1]],3)*1=5,Office_C_W_R_star_rating_offset_at_5_stars,Office_C_W_R_star_rating_offset))/Office_C_W_Median_Rating-1)*(tbl_Office_Multi[[M star]:[M star]]-tbl_Office_Multi[[Alpha star]:[Alpha star]]),"N/A")</f>
        <v>#N/A</v>
      </c>
      <c r="GF4" s="48" t="str">
        <f>IF(LEFT(tbl_Office_Multi[[#Headers],[6.0* w2]],3)*1&lt;=5,Office_C_W_M_star_Intercept+Office_C_W_Alpha_Star_Hrs_Coefficient*(tbl_Office_Multi[[Hrs]:[Hrs]]-Office_C_W_Hrs_Offset)-Office_C_W2_Hrs_Ratio*((LEFT(tbl_Office_Multi[[#Headers],[6.0* w2]],3)*1-IF(LEFT(tbl_Office_Multi[[#Headers],[6.0* w2]],3)*1=5,Office_C_W_R_star_rating_offset_at_5_stars,Office_C_W_R_star_rating_offset))/Office_C_W_Median_Rating-1),"N/A")</f>
        <v>N/A</v>
      </c>
      <c r="GG4" s="48" t="str">
        <f>IF(LEFT(tbl_Office_Multi[[#Headers],[5.5* w2]],3)*1&lt;=5,Office_C_W_M_star_Intercept+Office_C_W_Alpha_Star_Hrs_Coefficient*(tbl_Office_Multi[[Hrs]:[Hrs]]-Office_C_W_Hrs_Offset)-Office_C_W2_Hrs_Ratio*((LEFT(tbl_Office_Multi[[#Headers],[5.5* w2]],3)*1-IF(LEFT(tbl_Office_Multi[[#Headers],[5.5* w2]],3)*1=5,Office_C_W_R_star_rating_offset_at_5_stars,Office_C_W_R_star_rating_offset))/Office_C_W_Median_Rating-1),"N/A")</f>
        <v>N/A</v>
      </c>
      <c r="GH4" s="48">
        <f>IF(LEFT(tbl_Office_Multi[[#Headers],[5.0* w2]],3)*1&lt;=5,Office_C_W_M_star_Intercept+Office_C_W_Alpha_Star_Hrs_Coefficient*(tbl_Office_Multi[[Hrs]:[Hrs]]-Office_C_W_Hrs_Offset)-Office_C_W2_Hrs_Ratio*((LEFT(tbl_Office_Multi[[#Headers],[5.0* w2]],3)*1-IF(LEFT(tbl_Office_Multi[[#Headers],[5.0* w2]],3)*1=5,Office_C_W_R_star_rating_offset_at_5_stars,Office_C_W_R_star_rating_offset))/Office_C_W_Median_Rating-1),"N/A")</f>
        <v>0.26199871111111117</v>
      </c>
      <c r="GI4" s="48">
        <f>IF(LEFT(tbl_Office_Multi[[#Headers],[4.5* w2]],3)*1&lt;=5,Office_C_W_M_star_Intercept+Office_C_W_Alpha_Star_Hrs_Coefficient*(tbl_Office_Multi[[Hrs]:[Hrs]]-Office_C_W_Hrs_Offset)-Office_C_W2_Hrs_Ratio*((LEFT(tbl_Office_Multi[[#Headers],[4.5* w2]],3)*1-IF(LEFT(tbl_Office_Multi[[#Headers],[4.5* w2]],3)*1=5,Office_C_W_R_star_rating_offset_at_5_stars,Office_C_W_R_star_rating_offset))/Office_C_W_Median_Rating-1),"N/A")</f>
        <v>0.32644444444444454</v>
      </c>
      <c r="GJ4" s="48">
        <f>IF(LEFT(tbl_Office_Multi[[#Headers],[4.0* w2]],3)*1&lt;=5,Office_C_W_M_star_Intercept+Office_C_W_Alpha_Star_Hrs_Coefficient*(tbl_Office_Multi[[Hrs]:[Hrs]]-Office_C_W_Hrs_Offset)-Office_C_W2_Hrs_Ratio*((LEFT(tbl_Office_Multi[[#Headers],[4.0* w2]],3)*1-IF(LEFT(tbl_Office_Multi[[#Headers],[4.0* w2]],3)*1=5,Office_C_W_R_star_rating_offset_at_5_stars,Office_C_W_R_star_rating_offset))/Office_C_W_Median_Rating-1),"N/A")</f>
        <v>0.39088888888888895</v>
      </c>
      <c r="GK4" s="48">
        <f>IF(LEFT(tbl_Office_Multi[[#Headers],[3.5* w2]],3)*1&lt;=5,Office_C_W_M_star_Intercept+Office_C_W_Alpha_Star_Hrs_Coefficient*(tbl_Office_Multi[[Hrs]:[Hrs]]-Office_C_W_Hrs_Offset)-Office_C_W2_Hrs_Ratio*((LEFT(tbl_Office_Multi[[#Headers],[3.5* w2]],3)*1-IF(LEFT(tbl_Office_Multi[[#Headers],[3.5* w2]],3)*1=5,Office_C_W_R_star_rating_offset_at_5_stars,Office_C_W_R_star_rating_offset))/Office_C_W_Median_Rating-1),"N/A")</f>
        <v>0.45533333333333342</v>
      </c>
      <c r="GL4" s="48">
        <f>IF(LEFT(tbl_Office_Multi[[#Headers],[3.0* w2]],3)*1&lt;=5,Office_C_W_M_star_Intercept+Office_C_W_Alpha_Star_Hrs_Coefficient*(tbl_Office_Multi[[Hrs]:[Hrs]]-Office_C_W_Hrs_Offset)-Office_C_W2_Hrs_Ratio*((LEFT(tbl_Office_Multi[[#Headers],[3.0* w2]],3)*1-IF(LEFT(tbl_Office_Multi[[#Headers],[3.0* w2]],3)*1=5,Office_C_W_R_star_rating_offset_at_5_stars,Office_C_W_R_star_rating_offset))/Office_C_W_Median_Rating-1),"N/A")</f>
        <v>0.51977777777777778</v>
      </c>
      <c r="GM4" s="48">
        <f>IF(LEFT(tbl_Office_Multi[[#Headers],[2.5* w2]],3)*1&lt;=5,Office_C_W_M_star_Intercept+Office_C_W_Alpha_Star_Hrs_Coefficient*(tbl_Office_Multi[[Hrs]:[Hrs]]-Office_C_W_Hrs_Offset)-Office_C_W2_Hrs_Ratio*((LEFT(tbl_Office_Multi[[#Headers],[2.5* w2]],3)*1-IF(LEFT(tbl_Office_Multi[[#Headers],[2.5* w2]],3)*1=5,Office_C_W_R_star_rating_offset_at_5_stars,Office_C_W_R_star_rating_offset))/Office_C_W_Median_Rating-1),"N/A")</f>
        <v>0.58422222222222231</v>
      </c>
      <c r="GN4" s="48">
        <f>IF(LEFT(tbl_Office_Multi[[#Headers],[2.0* w2]],3)*1&lt;=5,Office_C_W_M_star_Intercept+Office_C_W_Alpha_Star_Hrs_Coefficient*(tbl_Office_Multi[[Hrs]:[Hrs]]-Office_C_W_Hrs_Offset)-Office_C_W2_Hrs_Ratio*((LEFT(tbl_Office_Multi[[#Headers],[2.0* w2]],3)*1-IF(LEFT(tbl_Office_Multi[[#Headers],[2.0* w2]],3)*1=5,Office_C_W_R_star_rating_offset_at_5_stars,Office_C_W_R_star_rating_offset))/Office_C_W_Median_Rating-1),"N/A")</f>
        <v>0.64866666666666672</v>
      </c>
      <c r="GO4" s="48">
        <f>IF(LEFT(tbl_Office_Multi[[#Headers],[1.5* w2]],3)*1&lt;=5,Office_C_W_M_star_Intercept+Office_C_W_Alpha_Star_Hrs_Coefficient*(tbl_Office_Multi[[Hrs]:[Hrs]]-Office_C_W_Hrs_Offset)-Office_C_W2_Hrs_Ratio*((LEFT(tbl_Office_Multi[[#Headers],[1.5* w2]],3)*1-IF(LEFT(tbl_Office_Multi[[#Headers],[1.5* w2]],3)*1=5,Office_C_W_R_star_rating_offset_at_5_stars,Office_C_W_R_star_rating_offset))/Office_C_W_Median_Rating-1),"N/A")</f>
        <v>0.71311111111111114</v>
      </c>
      <c r="GP4" s="48">
        <f>IF(LEFT(tbl_Office_Multi[[#Headers],[1.0* w2]],3)*1&lt;=5,Office_C_W_M_star_Intercept+Office_C_W_Alpha_Star_Hrs_Coefficient*(tbl_Office_Multi[[Hrs]:[Hrs]]-Office_C_W_Hrs_Offset)-Office_C_W2_Hrs_Ratio*((LEFT(tbl_Office_Multi[[#Headers],[1.0* w2]],3)*1-IF(LEFT(tbl_Office_Multi[[#Headers],[1.0* w2]],3)*1=5,Office_C_W_R_star_rating_offset_at_5_stars,Office_C_W_R_star_rating_offset))/Office_C_W_Median_Rating-1),"N/A")</f>
        <v>0.77755555555555556</v>
      </c>
      <c r="GQ4" s="48">
        <f>IF(LEFT(tbl_Office_Multi[[#Headers],[0.0* w2]],3)*1&lt;=5,Office_C_W_M_star_Intercept+Office_C_W_Alpha_Star_Hrs_Coefficient*(tbl_Office_Multi[[Hrs]:[Hrs]]-Office_C_W_Hrs_Offset)-Office_C_W2_Hrs_Ratio*((LEFT(tbl_Office_Multi[[#Headers],[0.0* w2]],3)*1-IF(LEFT(tbl_Office_Multi[[#Headers],[0.0* w2]],3)*1=5,Office_C_W_R_star_rating_offset_at_5_stars,Office_C_W_R_star_rating_offset))/Office_C_W_Median_Rating-1),"N/A")</f>
        <v>0.9064444444444445</v>
      </c>
      <c r="GR4" s="48">
        <f>IF(LEFT(tbl_Office_Multi[[#Headers],[6.0* Max Water (kL/m²)]],3)*1&lt;=5,IF(tbl_Office_Multi[[#This Row],[6.0* w1]]&gt;=tbl_Office_Multi[[Alpha star]:[Alpha star]],tbl_Office_Multi[[#This Row],[6.0* w1]],tbl_Office_Multi[[#This Row],[6.0* w2]]),
((7-LEFT(tbl_Office_Multi[[#Headers],[6.0* Max Water (kL/m²)]],3)*1)/2)*tbl_Office_Multi[[wat_5stars]:[wat_5stars]])</f>
        <v>0.13100000000000003</v>
      </c>
      <c r="GS4" s="48">
        <f>IF(LEFT(tbl_Office_Multi[[#Headers],[5.5* Max Water (kL/m²)]],3)*1&lt;=5,IF(tbl_Office_Multi[[#This Row],[5.5* w1]]&gt;=tbl_Office_Multi[[Alpha star]:[Alpha star]],tbl_Office_Multi[[#This Row],[5.5* w1]],tbl_Office_Multi[[#This Row],[5.5* w2]]),
((7-LEFT(tbl_Office_Multi[[#Headers],[5.5* Max Water (kL/m²)]],3)*1)/2)*tbl_Office_Multi[[wat_5stars]:[wat_5stars]])</f>
        <v>0.19650000000000006</v>
      </c>
      <c r="GT4" s="48" t="e">
        <f>IF(LEFT(tbl_Office_Multi[[#Headers],[5.0* Max Water (kL/m²)]],3)*1&lt;=5,IF(tbl_Office_Multi[[#This Row],[5.0* w1]]&gt;=tbl_Office_Multi[[Alpha star]:[Alpha star]],tbl_Office_Multi[[#This Row],[5.0* w1]],tbl_Office_Multi[[#This Row],[5.0* w2]]),
((7-LEFT(tbl_Office_Multi[[#Headers],[5.0* Max Water (kL/m²)]],3)*1)/2)*tbl_Office_Multi[[wat_5stars]:[wat_5stars]])</f>
        <v>#N/A</v>
      </c>
      <c r="GU4" s="48" t="e">
        <f>IF(LEFT(tbl_Office_Multi[[#Headers],[4.5* Max Water (kL/m²)]],3)*1&lt;=5,IF(tbl_Office_Multi[[#This Row],[4.5* w1]]&gt;=tbl_Office_Multi[[Alpha star]:[Alpha star]],tbl_Office_Multi[[#This Row],[4.5* w1]],tbl_Office_Multi[[#This Row],[4.5* w2]]),
((7-LEFT(tbl_Office_Multi[[#Headers],[4.5* Max Water (kL/m²)]],3)*1)/2)*tbl_Office_Multi[[wat_5stars]:[wat_5stars]])</f>
        <v>#N/A</v>
      </c>
      <c r="GV4" s="48" t="e">
        <f>IF(LEFT(tbl_Office_Multi[[#Headers],[4.0* Max Water (kL/m²)]],3)*1&lt;=5,IF(tbl_Office_Multi[[#This Row],[4.0* w1]]&gt;=tbl_Office_Multi[[Alpha star]:[Alpha star]],tbl_Office_Multi[[#This Row],[4.0* w1]],tbl_Office_Multi[[#This Row],[4.0* w2]]),
((7-LEFT(tbl_Office_Multi[[#Headers],[4.0* Max Water (kL/m²)]],3)*1)/2)*tbl_Office_Multi[[wat_5stars]:[wat_5stars]])</f>
        <v>#N/A</v>
      </c>
      <c r="GW4" s="48" t="e">
        <f>IF(LEFT(tbl_Office_Multi[[#Headers],[3.5* Max Water (kL/m²)]],3)*1&lt;=5,IF(tbl_Office_Multi[[#This Row],[3.5* w1]]&gt;=tbl_Office_Multi[[Alpha star]:[Alpha star]],tbl_Office_Multi[[#This Row],[3.5* w1]],tbl_Office_Multi[[#This Row],[3.5* w2]]),
((7-LEFT(tbl_Office_Multi[[#Headers],[3.5* Max Water (kL/m²)]],3)*1)/2)*tbl_Office_Multi[[wat_5stars]:[wat_5stars]])</f>
        <v>#N/A</v>
      </c>
      <c r="GX4" s="48" t="e">
        <f>IF(LEFT(tbl_Office_Multi[[#Headers],[3.0* Max Water (kL/m²)]],3)*1&lt;=5,IF(tbl_Office_Multi[[#This Row],[3.0* w1]]&gt;=tbl_Office_Multi[[Alpha star]:[Alpha star]],tbl_Office_Multi[[#This Row],[3.0* w1]],tbl_Office_Multi[[#This Row],[3.0* w2]]),
((7-LEFT(tbl_Office_Multi[[#Headers],[3.0* Max Water (kL/m²)]],3)*1)/2)*tbl_Office_Multi[[wat_5stars]:[wat_5stars]])</f>
        <v>#N/A</v>
      </c>
      <c r="GY4" s="48" t="e">
        <f>IF(LEFT(tbl_Office_Multi[[#Headers],[2.5* Max Water (kL/m²)]],3)*1&lt;=5,IF(tbl_Office_Multi[[#This Row],[2.5* w1]]&gt;=tbl_Office_Multi[[Alpha star]:[Alpha star]],tbl_Office_Multi[[#This Row],[2.5* w1]],tbl_Office_Multi[[#This Row],[2.5* w2]]),
((7-LEFT(tbl_Office_Multi[[#Headers],[2.5* Max Water (kL/m²)]],3)*1)/2)*tbl_Office_Multi[[wat_5stars]:[wat_5stars]])</f>
        <v>#N/A</v>
      </c>
      <c r="GZ4" s="48" t="e">
        <f>IF(LEFT(tbl_Office_Multi[[#Headers],[2.0* Max Water (kL/m²)]],3)*1&lt;=5,IF(tbl_Office_Multi[[#This Row],[2.0* w1]]&gt;=tbl_Office_Multi[[Alpha star]:[Alpha star]],tbl_Office_Multi[[#This Row],[2.0* w1]],tbl_Office_Multi[[#This Row],[2.0* w2]]),
((7-LEFT(tbl_Office_Multi[[#Headers],[2.0* Max Water (kL/m²)]],3)*1)/2)*tbl_Office_Multi[[wat_5stars]:[wat_5stars]])</f>
        <v>#N/A</v>
      </c>
      <c r="HA4" s="48" t="e">
        <f>IF(LEFT(tbl_Office_Multi[[#Headers],[1.5* Max Water (kL/m²)]],3)*1&lt;=5,IF(tbl_Office_Multi[[#This Row],[1.5* w1]]&gt;=tbl_Office_Multi[[Alpha star]:[Alpha star]],tbl_Office_Multi[[#This Row],[1.5* w1]],tbl_Office_Multi[[#This Row],[1.5* w2]]),
((7-LEFT(tbl_Office_Multi[[#Headers],[1.5* Max Water (kL/m²)]],3)*1)/2)*tbl_Office_Multi[[wat_5stars]:[wat_5stars]])</f>
        <v>#N/A</v>
      </c>
      <c r="HB4" s="48" t="e">
        <f>IF(LEFT(tbl_Office_Multi[[#Headers],[1.0* Max Water (kL/m²)]],3)*1&lt;=5,IF(tbl_Office_Multi[[#This Row],[1.0* w1]]&gt;=tbl_Office_Multi[[Alpha star]:[Alpha star]],tbl_Office_Multi[[#This Row],[1.0* w1]],tbl_Office_Multi[[#This Row],[1.0* w2]]),
((7-LEFT(tbl_Office_Multi[[#Headers],[1.0* Max Water (kL/m²)]],3)*1)/2)*tbl_Office_Multi[[wat_5stars]:[wat_5stars]])</f>
        <v>#N/A</v>
      </c>
      <c r="HC4" s="48" t="e">
        <f>IF(LEFT(tbl_Office_Multi[[#Headers],[0.0* Max Water (kL/m²)]],3)*1&lt;=5,IF(tbl_Office_Multi[[#This Row],[0.0* w1]]&gt;=tbl_Office_Multi[[Alpha star]:[Alpha star]],tbl_Office_Multi[[#This Row],[0.0* w1]],tbl_Office_Multi[[#This Row],[0.0* w2]]),
((7-LEFT(tbl_Office_Multi[[#Headers],[0.0* Max Water (kL/m²)]],3)*1)/2)*tbl_Office_Multi[[wat_5stars]:[wat_5stars]])</f>
        <v>#N/A</v>
      </c>
      <c r="HD4" s="44">
        <f>ROUNDDOWN(tbl_Office_Multi[[#This Row],[6.0* Max Water (kL/m²)]]*tbl_Office_Multi[[NLA]:[NLA]],0)</f>
        <v>0</v>
      </c>
      <c r="HE4" s="44">
        <f>ROUNDDOWN(tbl_Office_Multi[[#This Row],[5.5* Max Water (kL/m²)]]*tbl_Office_Multi[[NLA]:[NLA]],0)</f>
        <v>0</v>
      </c>
      <c r="HF4" s="44" t="e">
        <f>ROUNDDOWN(tbl_Office_Multi[[#This Row],[5.0* Max Water (kL/m²)]]*tbl_Office_Multi[[NLA]:[NLA]],0)</f>
        <v>#N/A</v>
      </c>
      <c r="HG4" s="44" t="e">
        <f>ROUNDDOWN(tbl_Office_Multi[[#This Row],[4.5* Max Water (kL/m²)]]*tbl_Office_Multi[[NLA]:[NLA]],0)</f>
        <v>#N/A</v>
      </c>
      <c r="HH4" s="44" t="e">
        <f>ROUNDDOWN(tbl_Office_Multi[[#This Row],[4.0* Max Water (kL/m²)]]*tbl_Office_Multi[[NLA]:[NLA]],0)</f>
        <v>#N/A</v>
      </c>
      <c r="HI4" s="44" t="e">
        <f>ROUNDDOWN(tbl_Office_Multi[[#This Row],[3.5* Max Water (kL/m²)]]*tbl_Office_Multi[[NLA]:[NLA]],0)</f>
        <v>#N/A</v>
      </c>
      <c r="HJ4" s="44" t="e">
        <f>ROUNDDOWN(tbl_Office_Multi[[#This Row],[3.0* Max Water (kL/m²)]]*tbl_Office_Multi[[NLA]:[NLA]],0)</f>
        <v>#N/A</v>
      </c>
      <c r="HK4" s="44" t="e">
        <f>ROUNDDOWN(tbl_Office_Multi[[#This Row],[2.5* Max Water (kL/m²)]]*tbl_Office_Multi[[NLA]:[NLA]],0)</f>
        <v>#N/A</v>
      </c>
      <c r="HL4" s="44" t="e">
        <f>ROUNDDOWN(tbl_Office_Multi[[#This Row],[2.0* Max Water (kL/m²)]]*tbl_Office_Multi[[NLA]:[NLA]],0)</f>
        <v>#N/A</v>
      </c>
      <c r="HM4" s="44" t="e">
        <f>ROUNDDOWN(tbl_Office_Multi[[#This Row],[1.5* Max Water (kL/m²)]]*tbl_Office_Multi[[NLA]:[NLA]],0)</f>
        <v>#N/A</v>
      </c>
      <c r="HN4" s="44" t="e">
        <f>ROUNDDOWN(tbl_Office_Multi[[#This Row],[1.0* Max Water (kL/m²)]]*tbl_Office_Multi[[NLA]:[NLA]],0)</f>
        <v>#N/A</v>
      </c>
      <c r="HO4" s="44" t="e">
        <f>ROUNDDOWN(tbl_Office_Multi[[#This Row],[0.0* Max Water (kL/m²)]]*tbl_Office_Multi[[NLA]:[NLA]],0)</f>
        <v>#N/A</v>
      </c>
      <c r="HP4" s="44" t="e">
        <f>SUM(tbl_Office_Multi[[#This Row],[Electricity]]*(1-tbl_Office_Multi[[#This Row],[GP]])*tbl_Office_Multi[[#This Row],[SGEe Scopes 1,2&amp;3]],
tbl_Office_Multi[[#This Row],[Gas]]*tbl_Office_Multi[[#This Row],[SGEg Scopes 1,2&amp;3]],
tbl_Office_Multi[[#This Row],[Diesel]]*tbl_Office_Multi[[#This Row],[SGEd Scopes 1,2&amp;3]])</f>
        <v>#N/A</v>
      </c>
      <c r="HQ4" s="44" t="e">
        <f>SUM(tbl_Office_Multi[[#This Row],[Electricity]]*(1-tbl_Office_Multi[[#This Row],[GP]])*tbl_Office_Multi[[#This Row],[SGEe Scopes 1&amp;2]],
tbl_Office_Multi[[#This Row],[Gas]]*tbl_Office_Multi[[#This Row],[SGEg Scopes 1&amp;2]],
tbl_Office_Multi[[#This Row],[Diesel]]*tbl_Office_Multi[[#This Row],[SGEd Scopes 1&amp;2]])</f>
        <v>#N/A</v>
      </c>
      <c r="HR4" s="45" t="e">
        <f>MIN(ROUNDUP(tbl_Office_Multi[[#This Row],[Renergy (with GP)]]*2,0)/2,6)</f>
        <v>#N/A</v>
      </c>
      <c r="HS4" s="45" t="e">
        <f>tbl_Office_Multi[[#This Row],[Renergy (with GP)]]+Office_C_FWD_Star_Band_Residual_Adjustment</f>
        <v>#N/A</v>
      </c>
      <c r="HT4" s="45" t="e">
        <f>IF(tbl_Office_Multi[[#This Row],[Energy Star Decimal (with GP)]]&gt;5,"N/A",tbl_Office_Multi[[#This Row],[NGE (with GP)]])</f>
        <v>#N/A</v>
      </c>
      <c r="HU4" s="45" t="e">
        <f>MIN(ROUNDUP(tbl_Office_Multi[[#This Row],[REnergy (no GP)]]*2,0)/2,6)</f>
        <v>#N/A</v>
      </c>
      <c r="HV4" s="45" t="e">
        <f>tbl_Office_Multi[[#This Row],[REnergy (no GP)]]+Office_C_FWD_Star_Band_Residual_Adjustment</f>
        <v>#N/A</v>
      </c>
      <c r="HW4" s="45" t="e">
        <f>IF(tbl_Office_Multi[[#This Row],[Energy Star Decimal (no GP)]]&gt;5,"N/A",tbl_Office_Multi[[#This Row],[NGE (no GP)]])</f>
        <v>#N/A</v>
      </c>
      <c r="HX4" s="45" t="e">
        <f>IF(tbl_Office_Multi[[#This Row],[A]]+tbl_Office_Multi[[#This Row],[B]]*tbl_Office_Multi[[#This Row],[NGE (with GP)]]&gt;5,tbl_Office_Multi[[#This Row],[AEnergybeyond5stars]]+tbl_Office_Multi[[#This Row],[BEnergybeyond5stars gasMJ]]*tbl_Office_Multi[[#This Row],[GE (with GP)]],tbl_Office_Multi[[#This Row],[A]]+tbl_Office_Multi[[#This Row],[B]]*tbl_Office_Multi[[#This Row],[NGE (with GP)]])</f>
        <v>#N/A</v>
      </c>
      <c r="HY4" s="45" t="e">
        <f>IF(tbl_Office_Multi[[#This Row],[A]]+tbl_Office_Multi[[#This Row],[B]]*tbl_Office_Multi[[#This Row],[NGE (no GP)]]&gt;5,tbl_Office_Multi[[#This Row],[AEnergybeyond5stars]]+tbl_Office_Multi[[#This Row],[BEnergybeyond5stars gasMJ]]*tbl_Office_Multi[[#This Row],[GE (no GP)]],tbl_Office_Multi[[#This Row],[A]]+tbl_Office_Multi[[#This Row],[B]]*tbl_Office_Multi[[#This Row],[NGE (no GP)]])</f>
        <v>#N/A</v>
      </c>
      <c r="HZ4" s="45" t="e">
        <f>SUM(tbl_Office_Multi[[#This Row],[Electricity]]*(1-tbl_Office_Multi[[#This Row],[GP]])*tbl_Office_Multi[[#This Row],[SGEe]],
tbl_Office_Multi[[#This Row],[Gas]]*tbl_Office_Multi[[#This Row],[SGEg]],
tbl_Office_Multi[[#This Row],[Diesel]]*tbl_Office_Multi[[#This Row],[SGEd]])
/tbl_Office_Multi[[#This Row],[NLA]]</f>
        <v>#N/A</v>
      </c>
      <c r="IA4" s="45" t="e">
        <f>SUM(tbl_Office_Multi[[#This Row],[Electricity]]*tbl_Office_Multi[[#This Row],[SGEe]],
tbl_Office_Multi[[#This Row],[Gas]]*tbl_Office_Multi[[#This Row],[SGEg]],
tbl_Office_Multi[[#This Row],[Diesel]]*tbl_Office_Multi[[#This Row],[SGEd]])
/tbl_Office_Multi[[#This Row],[NLA]]</f>
        <v>#N/A</v>
      </c>
      <c r="IB4" s="45">
        <f>IF(tbl_Office_Multi[[#This Row],[Rating Type]]="Base Building",tbl_Office_Multi[[#This Row],[f_basebuilding]]*(tbl_Office_Multi[[#This Row],[GE (with GP)]]+tbl_Office_Multi[[#This Row],[GEcorrclimate]]),
IF(tbl_Office_Multi[[#This Row],[Rating Type]]="Tenancy",tbl_Office_Multi[[#This Row],[f_tenancy]]*(tbl_Office_Multi[[#This Row],[GE (with GP)]]+tbl_Office_Multi[[#This Row],[GEcorrtenancy]]),
IF(tbl_Office_Multi[[#This Row],[Rating Type]]="Whole Building",tbl_Office_Multi[[#This Row],[GE (with GP)]]*((tbl_Office_Multi[[#This Row],[f_basebuilding]]+tbl_Office_Multi[[#This Row],[f_tenancy]])/2)+tbl_Office_Multi[[#This Row],[f_tenancy]]*tbl_Office_Multi[[#This Row],[GEcorrtenancy]]+tbl_Office_Multi[[#This Row],[f_basebuilding]]*tbl_Office_Multi[[#This Row],[GEcorrclimate]],
0)))</f>
        <v>0</v>
      </c>
      <c r="IC4" s="45">
        <f>IF(tbl_Office_Multi[[#This Row],[Rating Type]]="Base Building",tbl_Office_Multi[[#This Row],[f_basebuilding]]*(tbl_Office_Multi[[#This Row],[GE (no GP)]]+tbl_Office_Multi[[#This Row],[GEcorrclimate]]),
IF(tbl_Office_Multi[[#This Row],[Rating Type]]="Tenancy",tbl_Office_Multi[[#This Row],[f_tenancy]]*(tbl_Office_Multi[[#This Row],[GE (no GP)]]+tbl_Office_Multi[[#This Row],[GEcorrtenancy]]),
IF(tbl_Office_Multi[[#This Row],[Rating Type]]="Whole Building",tbl_Office_Multi[[#This Row],[GE (no GP)]]*((tbl_Office_Multi[[#This Row],[f_basebuilding]]+tbl_Office_Multi[[#This Row],[f_tenancy]])/2)+tbl_Office_Multi[[#This Row],[f_tenancy]]*tbl_Office_Multi[[#This Row],[GEcorrtenancy]]+tbl_Office_Multi[[#This Row],[f_basebuilding]]*tbl_Office_Multi[[#This Row],[GEcorrclimate]],
0)))</f>
        <v>0</v>
      </c>
      <c r="ID4" s="45" t="e">
        <f>MIN(ROUNDUP(tbl_Office_Multi[[#This Row],[Rwater (with recyc)]]*2,0)/2,6)</f>
        <v>#DIV/0!</v>
      </c>
      <c r="IE4" s="45" t="e">
        <f>tbl_Office_Multi[[#This Row],[Rwater (with recyc)]]+Office_C_FWD_Star_Band_Residual_Adjustment</f>
        <v>#DIV/0!</v>
      </c>
      <c r="IF4" s="45" t="e">
        <f>MIN(ROUNDUP(tbl_Office_Multi[[#This Row],[Rwater (no recyc)]]*2,0)/2,6)</f>
        <v>#DIV/0!</v>
      </c>
      <c r="IG4" s="45" t="e">
        <f>tbl_Office_Multi[[#This Row],[Rwater (no recyc)]]+Office_C_FWD_Star_Band_Residual_Adjustment</f>
        <v>#DIV/0!</v>
      </c>
      <c r="IH4" s="45" t="e">
        <f>tbl_Office_Multi[[#This Row],[Water]]*(1-tbl_Office_Multi[[#This Row],[RW]])/tbl_Office_Multi[[#This Row],[NLA]]</f>
        <v>#DIV/0!</v>
      </c>
      <c r="II4" s="45" t="e">
        <f>tbl_Office_Multi[[#This Row],[Water]]/tbl_Office_Multi[[#This Row],[NLA]]</f>
        <v>#DIV/0!</v>
      </c>
      <c r="IJ4" s="45" t="e">
        <f>IF(tbl_Office_Multi[[#This Row],[Rwater0to5 (with recyc)]]&gt;5,tbl_Office_Multi[[#This Row],[AWaterbeyond5stars]]+tbl_Office_Multi[[#This Row],[BWaterbeyond5stars]]*tbl_Office_Multi[[#This Row],[w (with recyc)]],tbl_Office_Multi[[#This Row],[Rwater0to5 (with recyc)]])</f>
        <v>#DIV/0!</v>
      </c>
      <c r="IK4" s="45" t="e">
        <f>IF(tbl_Office_Multi[[#This Row],[Rwater0to5 (no recyc)]]&gt;5,tbl_Office_Multi[[#This Row],[AWaterbeyond5stars]]+tbl_Office_Multi[[#This Row],[BWaterbeyond5stars]]*tbl_Office_Multi[[#This Row],[w (no recyc)]],tbl_Office_Multi[[#This Row],[Rwater0to5 (no recyc)]])</f>
        <v>#DIV/0!</v>
      </c>
      <c r="IL4" s="45" t="e">
        <f>IF(tbl_Office_Multi[[#This Row],[w (with recyc)]]&gt;=tbl_Office_Multi[[#This Row],[Alpha star]],2.25*((tbl_Office_Multi[[#This Row],[M star]]-tbl_Office_Multi[[#This Row],[w (with recyc)]])/(tbl_Office_Multi[[#This Row],[M star]]-tbl_Office_Multi[[#This Row],[Alpha star]])+1),2.25*((0.64+0.0016*(tbl_Office_Multi[[#This Row],[Hrs]]-55)-tbl_Office_Multi[[#This Row],[w (with recyc)]])/0.29+1))</f>
        <v>#DIV/0!</v>
      </c>
      <c r="IM4" s="45" t="e">
        <f>IF(tbl_Office_Multi[[#This Row],[w (no recyc)]]&gt;=tbl_Office_Multi[[#This Row],[Alpha star]],2.25*((tbl_Office_Multi[[#This Row],[M star]]-tbl_Office_Multi[[#This Row],[w (no recyc)]])/(tbl_Office_Multi[[#This Row],[M star]]-tbl_Office_Multi[[#This Row],[Alpha star]])+1),2.25*((0.64+0.0016*(tbl_Office_Multi[[#This Row],[Hrs]]-55)-tbl_Office_Multi[[#This Row],[w (no recyc)]])/0.29+1))</f>
        <v>#DIV/0!</v>
      </c>
    </row>
    <row r="5" spans="1:247" ht="16.5" customHeight="1">
      <c r="A5" s="484">
        <v>4.2</v>
      </c>
      <c r="B5" s="484">
        <v>4</v>
      </c>
      <c r="C5" s="485" t="s">
        <v>454</v>
      </c>
      <c r="D5" s="485">
        <v>211</v>
      </c>
      <c r="E5" s="485">
        <v>45</v>
      </c>
      <c r="F5" s="488">
        <v>1356.6</v>
      </c>
      <c r="G5" s="486">
        <v>45</v>
      </c>
      <c r="H5" s="487">
        <v>1</v>
      </c>
      <c r="I5" s="487">
        <v>0</v>
      </c>
      <c r="J5" s="487">
        <v>0</v>
      </c>
      <c r="K5" s="126">
        <f>IF(tbl_Office_Multi[[#This Row],[Target Energy]]&gt;5,"N/A",tbl_Office_Multi[[#This Row],[Target Max Energy NGE]])</f>
        <v>81.885202738283297</v>
      </c>
      <c r="L5" s="126">
        <f>tbl_Office_Multi[[#This Row],[Target Max GE]]</f>
        <v>73.488319127434792</v>
      </c>
      <c r="M5" s="42">
        <f>tbl_Office_Multi[[#This Row],[Target Max CO2]]</f>
        <v>99694.253728278039</v>
      </c>
      <c r="N5" s="42">
        <f>tbl_Office_Multi[[#This Row],[Target Max GE]]</f>
        <v>73.488319127434792</v>
      </c>
      <c r="O5" s="378">
        <f>tbl_Office_Multi[[#This Row],[Target Max Energy Intensity]]</f>
        <v>293.95327650973917</v>
      </c>
      <c r="P5" s="42">
        <f>tbl_Office_Multi[[#This Row],[Target Scopes 1,2&amp;3]]</f>
        <v>95263.06</v>
      </c>
      <c r="Q5" s="42">
        <f>tbl_Office_Multi[[#This Row],[Target Scopes 1&amp;2]]</f>
        <v>87509.090000000011</v>
      </c>
      <c r="R5" s="42">
        <f>tbl_Office_Multi[[#This Row],[Target Max Elec (kWh)]]</f>
        <v>110771</v>
      </c>
      <c r="S5" s="42">
        <f>tbl_Office_Multi[[#This Row],[Target Max Gas (MJ)]]</f>
        <v>0</v>
      </c>
      <c r="T5" s="42">
        <f>tbl_Office_Multi[[#This Row],[Target Max Diesel (L)]]</f>
        <v>0</v>
      </c>
      <c r="U5" s="42">
        <f>tbl_Office_Multi[[#This Row],[Max Water]]</f>
        <v>669</v>
      </c>
      <c r="V5" s="126">
        <f>tbl_Office_Multi[[#This Row],[max w]]</f>
        <v>0.49328888888888878</v>
      </c>
      <c r="W5" s="285">
        <v>857096</v>
      </c>
      <c r="X5" s="285">
        <v>2776993</v>
      </c>
      <c r="Y5" s="285">
        <v>7993</v>
      </c>
      <c r="Z5" s="43">
        <v>0</v>
      </c>
      <c r="AA5" s="285">
        <v>7795</v>
      </c>
      <c r="AB5" s="43">
        <v>0.4</v>
      </c>
      <c r="AC5" s="45" t="str">
        <f>INDEX(tbl_Climate_Lookup[],MATCH(tbl_Office_Multi[[Postcode]:[Postcode]],tbl_Climate_Lookup[[Postcode]:[Postcode]],0),MATCH(tbl_Office_Multi[[#Headers],[State]],tbl_Climate_Lookup[#Headers],0))</f>
        <v>ACT</v>
      </c>
      <c r="AD5" s="45">
        <f>INDEX(tbl_Climate_Lookup[],MATCH(tbl_Office_Multi[[Postcode]:[Postcode]],tbl_Climate_Lookup[[Postcode]:[Postcode]],0),MATCH(tbl_Office_Multi[[#Headers],[Climate zone]],tbl_Climate_Lookup[#Headers],0))</f>
        <v>64</v>
      </c>
      <c r="AE5" s="169">
        <f>INDEX(tbl_Climate_Lookup[],MATCH(tbl_Office_Multi[[Postcode]:[Postcode]],tbl_Climate_Lookup[[Postcode]:[Postcode]],0),MATCH(tbl_Office_Multi[[#Headers],[HDD]],tbl_Climate_Lookup[#Headers],0))</f>
        <v>2186</v>
      </c>
      <c r="AF5" s="169">
        <f>INDEX(tbl_Climate_Lookup[],MATCH(tbl_Office_Multi[[Postcode]:[Postcode]],tbl_Climate_Lookup[[Postcode]:[Postcode]],0),MATCH(tbl_Office_Multi[[#Headers],[CDD]],tbl_Climate_Lookup[#Headers],0))</f>
        <v>80</v>
      </c>
      <c r="AG5" s="45">
        <f>INDEX(tbl_SGE_Office_2020[],MATCH(tbl_Office_Multi[[State]:[State]],tbl_SGE_Office_2020[[State]:[State]],0),MATCH(tbl_Office_Multi[[#Headers],[SGEekWh]],tbl_SGE_Office_2020[#Headers],0))</f>
        <v>0.9</v>
      </c>
      <c r="AH5" s="45">
        <f>INDEX(tbl_SGE_Office_2020[],MATCH(tbl_Office_Multi[[State]:[State]],tbl_SGE_Office_2020[[State]:[State]],0),MATCH(tbl_Office_Multi[[#Headers],[SGEgkWh]],tbl_SGE_Office_2020[#Headers],0))</f>
        <v>0.23266800000000001</v>
      </c>
      <c r="AI5" s="45">
        <f>INDEX(tbl_SGE_Office_2020[],MATCH(tbl_Office_Multi[[State]:[State]],tbl_SGE_Office_2020[[State]:[State]],0),MATCH(tbl_Office_Multi[[#Headers],[SGEdkWh]],tbl_SGE_Office_2020[#Headers],0))</f>
        <v>0.26567999999999997</v>
      </c>
      <c r="AJ5" s="45">
        <f>tbl_Office_Multi[[#This Row],[SGEekWh]]</f>
        <v>0.9</v>
      </c>
      <c r="AK5" s="45">
        <f>tbl_Office_Multi[[#This Row],[SGEgkWh]]/tbl_Office_Multi[[#This Row],[CFelec]]</f>
        <v>6.4630000000000007E-2</v>
      </c>
      <c r="AL5" s="45">
        <f>tbl_Office_Multi[[#This Row],[SGEdkWh]]/tbl_Office_Multi[[#This Row],[CFelec]]*tbl_Office_Multi[[#This Row],[CFdiesel]]</f>
        <v>2.8486799999999999</v>
      </c>
      <c r="AM5" s="50">
        <f>INDEX(tbl_Conversion_Factors[[Conversion Factors]:[Conversion Factors]],MATCH(tbl_Office_Multi[[#Headers],[CFelec]],tbl_Conversion_Factors[[Reference]:[Reference]],0))</f>
        <v>3.6</v>
      </c>
      <c r="AN5" s="50">
        <f>INDEX(tbl_Conversion_Factors[[Conversion Factors]:[Conversion Factors]],MATCH(tbl_Office_Multi[[#Headers],[CFdiesel]],tbl_Conversion_Factors[[Reference]:[Reference]],0))</f>
        <v>38.6</v>
      </c>
      <c r="AO5" s="45">
        <f>tbl_Office_Multi[[#This Row],[SGEe]]/tbl_Office_Multi[[#This Row],[CFelec]]</f>
        <v>0.25</v>
      </c>
      <c r="AP5" s="45">
        <f>tbl_Office_Multi[[#This Row],[SGEd]]/tbl_Office_Multi[[#This Row],[CFdiesel]]</f>
        <v>7.3799999999999991E-2</v>
      </c>
      <c r="AQ5" s="46">
        <f>IF(SUM(tbl_Office_Multi[[#This Row],[Electricity (%)]:[Diesel (%)]])=1,
SUM(tbl_Office_Multi[[#This Row],[Electricity (%)]]*tbl_Office_Multi[[#This Row],[SGEeMJ]],
tbl_Office_Multi[[#This Row],[Gas (%)]]*tbl_Office_Multi[[#This Row],[SGEg]],
tbl_Office_Multi[[#This Row],[Diesel (%)]]*tbl_Office_Multi[[#This Row],[SGEdMJ]]),
0)</f>
        <v>0.25</v>
      </c>
      <c r="AR5" s="46">
        <f>INDEX(tbl_NGA_Factors_2021[],MATCH(tbl_Office_Multi[[State]:[State]],tbl_NGA_Factors_2021[[State]:[State]],0),MATCH(tbl_Office_Multi[[#Headers],[SGEe Scopes 1,2&amp;3]],tbl_NGA_Factors_2021[#Headers],0))</f>
        <v>0.86</v>
      </c>
      <c r="AS5" s="46">
        <f>INDEX(tbl_NGA_Factors_2021[],MATCH(tbl_Office_Multi[[State]:[State]],tbl_NGA_Factors_2021[[State]:[State]],0),MATCH(tbl_Office_Multi[[#Headers],[SGEg Scopes 1,2&amp;3]],tbl_NGA_Factors_2021[#Headers],0))</f>
        <v>6.4630000000000007E-2</v>
      </c>
      <c r="AT5" s="46">
        <f>INDEX(tbl_NGA_Factors_2021[],MATCH(tbl_Office_Multi[[State]:[State]],tbl_NGA_Factors_2021[[State]:[State]],0),MATCH(tbl_Office_Multi[[#Headers],[SGEd Scopes 1,2&amp;3]],tbl_NGA_Factors_2021[#Headers],0))</f>
        <v>2.8486799999999999</v>
      </c>
      <c r="AU5" s="46">
        <f>INDEX(tbl_NGA_Factors_2021[],MATCH(tbl_Office_Multi[[State]:[State]],tbl_NGA_Factors_2021[[State]:[State]],0),MATCH(tbl_Office_Multi[[#Headers],[SGEe Scopes 1&amp;2]],tbl_NGA_Factors_2021[#Headers],0))</f>
        <v>0.79</v>
      </c>
      <c r="AV5" s="46">
        <f>INDEX(tbl_NGA_Factors_2021[],MATCH(tbl_Office_Multi[[State]:[State]],tbl_NGA_Factors_2021[[State]:[State]],0),MATCH(tbl_Office_Multi[[#Headers],[SGEg Scopes 1&amp;2]],tbl_NGA_Factors_2021[#Headers],0))</f>
        <v>5.1529999999999999E-2</v>
      </c>
      <c r="AW5" s="46">
        <f>INDEX(tbl_NGA_Factors_2021[],MATCH(tbl_Office_Multi[[State]:[State]],tbl_NGA_Factors_2021[[State]:[State]],0),MATCH(tbl_Office_Multi[[#Headers],[SGEd Scopes 1&amp;2]],tbl_NGA_Factors_2021[#Headers],0))</f>
        <v>2.7097199999999999</v>
      </c>
      <c r="AX5" s="45">
        <f>MIN(tbl_Office_Multi[[#This Row],[Hrs]]+10,168)</f>
        <v>55</v>
      </c>
      <c r="AY5" s="45">
        <f>1/(0.38+0.0116*tbl_Office_Multi[[#This Row],[h]])</f>
        <v>0.98231827111984305</v>
      </c>
      <c r="AZ5" s="45">
        <f>1/(0.38+0.0105*tbl_Office_Multi[[#This Row],[h]])</f>
        <v>1.0443864229765012</v>
      </c>
      <c r="BA5" s="45">
        <f>0.2*tbl_Office_Multi[[#This Row],[Comp]]/tbl_Office_Multi[[#This Row],[NLA]]</f>
        <v>6.6342326404245913E-3</v>
      </c>
      <c r="BB5" s="45">
        <f>(5-tbl_Office_Multi[[#This Row],[A]]-0.499999)/tbl_Office_Multi[[#This Row],[B]]</f>
        <v>60.821458662453907</v>
      </c>
      <c r="BC5" s="45">
        <f>IF(tbl_Office_Multi[[#This Row],[Rating Type]]="Base Building",tbl_Office_Multi[[#This Row],[NGEat_5_stars]]/tbl_Office_Multi[[#This Row],[f_basebuilding]]-tbl_Office_Multi[[#This Row],[GEcorrclimate]],
IF(tbl_Office_Multi[[#This Row],[Rating Type]]="Tenancy",tbl_Office_Multi[[#This Row],[NGEat_5_stars]]/tbl_Office_Multi[[#This Row],[f_tenancy]]-tbl_Office_Multi[[#This Row],[GEcorrtenancy]],
IF(tbl_Office_Multi[[#This Row],[Rating Type]]="Whole Building",(tbl_Office_Multi[[#This Row],[NGEat_5_stars]]-tbl_Office_Multi[[#This Row],[f_tenancy]]*tbl_Office_Multi[[#This Row],[GEcorrtenancy]]-tbl_Office_Multi[[#This Row],[f_basebuilding]]*tbl_Office_Multi[[#This Row],[GEcorrclimate]])/((tbl_Office_Multi[[#This Row],[f_basebuilding]]+tbl_Office_Multi[[#This Row],[f_tenancy]])/2),0)))</f>
        <v>53.31978417482815</v>
      </c>
      <c r="BD5" s="45">
        <f>4000*tbl_Office_Multi[[#This Row],[SGEe]]*(0.008-tbl_Office_Multi[[#This Row],[Dequip]])</f>
        <v>4.9167624944714721</v>
      </c>
      <c r="BE5" s="45">
        <f>SUM(tbl_Office_Multi[[#This Row],[4.12*SGEgas]],
tbl_Office_Multi[[#This Row],[43.6*SGEelec]],
tbl_Office_Multi[[#This Row],[-0.0016*SGEgas*HDD/0.23]],
tbl_Office_Multi[[#This Row],[-0.091*SGEelec*CDD/0.94]],
tbl_Office_Multi[[#This Row],[max(0,0.062*SGEelec*(CDD-400)/0.94)]])</f>
        <v>29.690207234042553</v>
      </c>
      <c r="BF5" s="45">
        <f>4.12*IF(tbl_Office_Multi[[#This Row],[State]]="TAS",0.75/tbl_Office_Multi[[#This Row],[CFelec]],tbl_Office_Multi[[#This Row],[SGEg]])*3.6</f>
        <v>0.95859216000000025</v>
      </c>
      <c r="BG5" s="45">
        <f>43.6*tbl_Office_Multi[[#This Row],[SGEe]]</f>
        <v>39.24</v>
      </c>
      <c r="BH5" s="45">
        <f>-0.0016*IF(tbl_Office_Multi[[#This Row],[State]]="TAS",0.75/tbl_Office_Multi[[#This Row],[CFelec]],tbl_Office_Multi[[#This Row],[SGEg]])*tbl_Office_Multi[[#This Row],[CFelec]]*tbl_Office_Multi[[#This Row],[HDD]]/0.23</f>
        <v>-3.5381721600000002</v>
      </c>
      <c r="BI5" s="45">
        <f>-0.091*tbl_Office_Multi[[#This Row],[SGEe]]*tbl_Office_Multi[[#This Row],[CDD]]/0.94</f>
        <v>-6.9702127659574469</v>
      </c>
      <c r="BJ5" s="45">
        <f>MAX(0,0.062*tbl_Office_Multi[[#This Row],[SGEe]]*(tbl_Office_Multi[[#This Row],[CDD]]-400)/0.94)</f>
        <v>0</v>
      </c>
      <c r="BK5" s="45">
        <f>INDEX(tbl_Office_Coefficients[],MATCH(tbl_Office_Multi[[#This Row],[State]],tbl_Office_Coefficients[[State]:[State]],0),MATCH(tbl_Office_Multi[[#This Row],[Rating Type]]&amp;" "&amp;tbl_Office_Multi[[#Headers],[A]],tbl_Office_Coefficients[#Headers],0))</f>
        <v>6.81</v>
      </c>
      <c r="BL5" s="45">
        <f>INDEX(tbl_Office_Coefficients[],MATCH(tbl_Office_Multi[[#This Row],[State]],tbl_Office_Coefficients[[State]:[State]],0),MATCH(tbl_Office_Multi[[#This Row],[Rating Type]]&amp;" "&amp;tbl_Office_Multi[[#Headers],[B]],tbl_Office_Coefficients[#Headers],0))</f>
        <v>-3.798E-2</v>
      </c>
      <c r="BM5" s="45">
        <f t="shared" si="0"/>
        <v>6.5000099999999996</v>
      </c>
      <c r="BN5" s="45">
        <f>1/(-tbl_Office_Multi[[#This Row],[GEat_5_stars]]/2)</f>
        <v>-3.7509529172929101E-2</v>
      </c>
      <c r="BO5" s="36">
        <f>IF(tbl_Office_Multi[[#This Row],[Target Water]]&lt;=5,
tbl_Office_Multi[[#This Row],[M star]]-((tbl_Office_Multi[[#This Row],[Target Water]]-IF(tbl_Office_Multi[[#This Row],[Target Water]]=5,Office_C_W_R_star_rating_offset_at_5_stars,Office_C_W_R_star_rating_offset))/Office_C_W_Median_Rating-1)*(tbl_Office_Multi[[#This Row],[M star]]-tbl_Office_Multi[[#This Row],[Alpha star]]),
"N/A")</f>
        <v>0.49328888888888878</v>
      </c>
      <c r="BP5" s="36">
        <f>IF(tbl_Office_Multi[[#This Row],[Target Water]]&lt;=5,
Office_C_W_M_star_Intercept+Office_C_W_Alpha_Star_Hrs_Coefficient*(tbl_Office_Multi[[#This Row],[Hrs]]-Office_C_W_Hrs_Offset)-Office_C_W2_Hrs_Ratio*((tbl_Office_Multi[[#This Row],[Target Water]]-IF(tbl_Office_Multi[[#This Row],[Target Water]]=5,Office_C_W_R_star_rating_offset_at_5_stars,Office_C_W_R_star_rating_offset))/Office_C_W_Median_Rating-1),
"N/A")</f>
        <v>0.46288888888888891</v>
      </c>
      <c r="BQ5" s="127">
        <f>Office_C_W_Alpha_Star_Intercept+Office_C_W_Alpha_Star_Hrs_Coefficient*(tbl_Office_Multi[[#This Row],[Hrs]]-Office_C_W_Hrs_Offset)</f>
        <v>0.33399999999999996</v>
      </c>
      <c r="BR5" s="36">
        <f>(tbl_Office_Multi[[#This Row],[M]]-Office_C_W_M_star_Intercept)*(1+Office_C_W_M_star_Hrs_Coefficient*(tbl_Office_Multi[[#This Row],[Hrs]]-Office_C_W_Hrs_Offset))+Office_C_W_Alpha_Star_Hrs_Coefficient*(tbl_Office_Multi[[#This Row],[Hrs]]-Office_C_W_Hrs_Offset)+Office_C_W_M_star_Intercept</f>
        <v>0.6923999999999999</v>
      </c>
      <c r="BS5" s="45">
        <f>IF(tbl_Office_Multi[[#This Row],[CDD]]&lt;1100,tbl_Office_Multi[[#This Row],[0.64+0.0009*CDD]],tbl_Office_Multi[[#This Row],[1.63+0.00023*CDD]])</f>
        <v>0.71199999999999997</v>
      </c>
      <c r="BT5" s="36">
        <f>Office_C_W_Low_CDD_Intercept+Office_C_W_Low_CDD_Coefficient*tbl_Office_Multi[[#This Row],[CDD]]</f>
        <v>0.71199999999999997</v>
      </c>
      <c r="BU5" s="38">
        <f>Office_C_W_High_CDD_Intercept+Office_C_W_High_CDD_coefficient*tbl_Office_Multi[[#This Row],[CDD]]</f>
        <v>1.6483999999999999</v>
      </c>
      <c r="BV5" s="36">
        <f>Office_C_W_M_star_Intercept+Office_C_W_Alpha_Star_Hrs_Coefficient*(tbl_Office_Multi[[#This Row],[Hrs]]-Office_C_W_Hrs_Offset)-Office_C_W2_Hrs_Ratio*(Office_C_W_R_at_5_stars/Office_C_W_Median_Rating-1)</f>
        <v>0.33400000000000002</v>
      </c>
      <c r="BW5" s="45">
        <f t="shared" si="1"/>
        <v>6.5000999999999998</v>
      </c>
      <c r="BX5" s="45">
        <f>-2/tbl_Office_Multi[[#This Row],[wat_5stars]]</f>
        <v>-5.9880239520958076</v>
      </c>
      <c r="BY5" s="36">
        <f>tbl_Office_Multi[[#This Row],[M star]]-tbl_Office_Multi[[#This Row],[w (with recyc)]]</f>
        <v>-2.7551895621406457</v>
      </c>
      <c r="BZ5" s="36">
        <f>tbl_Office_Multi[[#This Row],[M star]]-tbl_Office_Multi[[#This Row],[Alpha star]]</f>
        <v>0.35839999999999994</v>
      </c>
      <c r="CA5" s="36">
        <f>(Office_C_W_M_star_Intercept+Office_C_W_Alpha_Star_Hrs_Coefficient*(tbl_Office_Multi[[#This Row],[Hrs]]-Office_C_W_Hrs_Offset)-tbl_Office_Multi[[#This Row],[w (with recyc)]])/Office_C_W2_Hrs_Ratio</f>
        <v>-9.7365157315194679</v>
      </c>
      <c r="CB5" s="36">
        <f>(tbl_Office_Multi[[#This Row],[Target Energy]]-Office_C_Reverse_Star_Band_Residual_Adjustment-tbl_Office_Multi[[#This Row],[A]])/tbl_Office_Multi[[#This Row],[B]]</f>
        <v>81.885202738283297</v>
      </c>
      <c r="CC5" s="36">
        <f>IF(tbl_Office_Multi[[#This Row],[Target Energy]]&gt;5,
(tbl_Office_Multi[[#This Row],[Target Energy]]-Hotel_C_Reverse_Star_Band_Residual_Adjustment-tbl_Office_Multi[[#This Row],[AEnergybeyond5stars]])/tbl_Office_Multi[[#This Row],[BEnergybeyond5stars gasMJ]],
IF(tbl_Office_Multi[[#This Row],[Rating Type]]="Base Building",
tbl_Office_Multi[[#This Row],[Target Max Energy NGE]]/tbl_Office_Multi[[#This Row],[f_basebuilding]]-tbl_Office_Multi[[#This Row],[GEcorrclimate]],
IF(tbl_Office_Multi[[#This Row],[Rating Type]]="Tenancy",
tbl_Office_Multi[[#This Row],[Target Max Energy NGE]]/tbl_Office_Multi[[#This Row],[f_tenancy]]-tbl_Office_Multi[[#This Row],[GEcorrtenancy]],
IF(tbl_Office_Multi[[#This Row],[Rating Type]]="Whole Building",
(tbl_Office_Multi[[#This Row],[Target Max Energy NGE]]-tbl_Office_Multi[[#This Row],[f_tenancy]]*tbl_Office_Multi[[#This Row],[GEcorrtenancy]]-tbl_Office_Multi[[#This Row],[f_basebuilding]]*tbl_Office_Multi[[#This Row],[GEcorrclimate]])/((tbl_Office_Multi[[#This Row],[f_basebuilding]]+tbl_Office_Multi[[#This Row],[f_tenancy]])/2),
0))))</f>
        <v>73.488319127434792</v>
      </c>
      <c r="CD5" s="44">
        <f>tbl_Office_Multi[[#This Row],[Target Max GE]]*tbl_Office_Multi[[#This Row],[NLA]]</f>
        <v>99694.253728278039</v>
      </c>
      <c r="CE5" s="44">
        <f>tbl_Office_Multi[[#This Row],[Target Max CO2]]/tbl_Office_Multi[[#This Row],[EffGHGMJ]]</f>
        <v>398777.01491311216</v>
      </c>
      <c r="CF5" s="44">
        <f>tbl_Office_Multi[[#This Row],[Target Max Energy (MJ)]]/tbl_Office_Multi[[#This Row],[NLA]]</f>
        <v>293.95327650973917</v>
      </c>
      <c r="CG5" s="44">
        <f>ROUNDDOWN(tbl_Office_Multi[[#This Row],[Target Max Energy (MJ)]]*tbl_Office_Multi[[#This Row],[Electricity (%)]]/tbl_Office_Multi[[#This Row],[CFelec]],0)</f>
        <v>110771</v>
      </c>
      <c r="CH5" s="44">
        <f>ROUNDDOWN(tbl_Office_Multi[[#This Row],[Target Max Energy (MJ)]]*tbl_Office_Multi[[#This Row],[Gas (%)]],0)</f>
        <v>0</v>
      </c>
      <c r="CI5" s="44">
        <f>ROUNDDOWN(tbl_Office_Multi[[#This Row],[Target Max Energy (MJ)]]*tbl_Office_Multi[[#This Row],[Diesel (%)]]/tbl_Office_Multi[[#This Row],[CFdiesel]],0)</f>
        <v>0</v>
      </c>
      <c r="CJ5" s="44">
        <f>SUM(tbl_Office_Multi[[#This Row],[Target Max Elec (kWh)]]*tbl_Office_Multi[[#This Row],[SGEe Scopes 1,2&amp;3]],
tbl_Office_Multi[[#This Row],[Target Max Gas (MJ)]]*tbl_Office_Multi[[#This Row],[SGEg Scopes 1,2&amp;3]],
tbl_Office_Multi[[#This Row],[Target Max Diesel (L)]]*tbl_Office_Multi[[#This Row],[SGEd Scopes 1,2&amp;3]])</f>
        <v>95263.06</v>
      </c>
      <c r="CK5" s="44">
        <f>SUM(tbl_Office_Multi[[#This Row],[Target Max Elec (kWh)]]*tbl_Office_Multi[[#This Row],[SGEe Scopes 1&amp;2]],
tbl_Office_Multi[[#This Row],[Target Max Gas (MJ)]]*tbl_Office_Multi[[#This Row],[SGEg Scopes 1&amp;2]],
tbl_Office_Multi[[#This Row],[Target Max Diesel (L)]]*tbl_Office_Multi[[#This Row],[SGEd Scopes 1&amp;2]])</f>
        <v>87509.090000000011</v>
      </c>
      <c r="CL5" s="45">
        <f>ROUNDDOWN(tbl_Office_Multi[[#This Row],[max w]]*tbl_Office_Multi[[#This Row],[NLA]],0)</f>
        <v>669</v>
      </c>
      <c r="CM5" s="36">
        <f>IF(tbl_Office_Multi[[#This Row],[Target Water]]&lt;=5,IF(tbl_Office_Multi[[#This Row],[w1]]&gt;=tbl_Office_Multi[[#This Row],[Alpha star]],tbl_Office_Multi[[#This Row],[w1]],tbl_Office_Multi[[#This Row],[w2]]),
((7-tbl_Office_Multi[[#This Row],[Target Water]])/2)*tbl_Office_Multi[[#This Row],[wat_5stars]])</f>
        <v>0.49328888888888878</v>
      </c>
      <c r="CN5" s="36">
        <f>(LEFT(tbl_Office_Multi[[#Headers],[6.0* Max NGE]],3)-tbl_Office_Multi[[A]:[A]]-Office_C_Reverse_Star_Band_Residual_Adjustment)/tbl_Office_Multi[[B]:[B]]</f>
        <v>34.491837809373344</v>
      </c>
      <c r="CO5" s="36">
        <f>(LEFT(tbl_Office_Multi[[#Headers],[5.5* Max NGE]],3)-tbl_Office_Multi[[A]:[A]]-Office_C_Reverse_Star_Band_Residual_Adjustment)/tbl_Office_Multi[[B]:[B]]</f>
        <v>47.656661400737221</v>
      </c>
      <c r="CP5" s="36">
        <f>(LEFT(tbl_Office_Multi[[#Headers],[5.0* Max NGE]],3)-tbl_Office_Multi[[A]:[A]]-Office_C_Reverse_Star_Band_Residual_Adjustment)/tbl_Office_Multi[[B]:[B]]</f>
        <v>60.821484992101098</v>
      </c>
      <c r="CQ5" s="36">
        <f>(LEFT(tbl_Office_Multi[[#Headers],[4.5* Max NGE]],3)-tbl_Office_Multi[[A]:[A]]-Office_C_Reverse_Star_Band_Residual_Adjustment)/tbl_Office_Multi[[B]:[B]]</f>
        <v>73.986308583464975</v>
      </c>
      <c r="CR5" s="36">
        <f>(LEFT(tbl_Office_Multi[[#Headers],[4.0* Max NGE]],3)-tbl_Office_Multi[[A]:[A]]-Office_C_Reverse_Star_Band_Residual_Adjustment)/tbl_Office_Multi[[B]:[B]]</f>
        <v>87.151132174828845</v>
      </c>
      <c r="CS5" s="36">
        <f>(LEFT(tbl_Office_Multi[[#Headers],[3.5* Max NGE]],3)-tbl_Office_Multi[[A]:[A]]-Office_C_Reverse_Star_Band_Residual_Adjustment)/tbl_Office_Multi[[B]:[B]]</f>
        <v>100.31595576619273</v>
      </c>
      <c r="CT5" s="36">
        <f>(LEFT(tbl_Office_Multi[[#Headers],[3.0* Max NGE]],3)-tbl_Office_Multi[[A]:[A]]-Office_C_Reverse_Star_Band_Residual_Adjustment)/tbl_Office_Multi[[B]:[B]]</f>
        <v>113.4807793575566</v>
      </c>
      <c r="CU5" s="36">
        <f>(LEFT(tbl_Office_Multi[[#Headers],[2.5* Max NGE]],3)-tbl_Office_Multi[[A]:[A]]-Office_C_Reverse_Star_Band_Residual_Adjustment)/tbl_Office_Multi[[B]:[B]]</f>
        <v>126.64560294892047</v>
      </c>
      <c r="CV5" s="36">
        <f>(LEFT(tbl_Office_Multi[[#Headers],[2.0* Max NGE]],3)-tbl_Office_Multi[[A]:[A]]-Office_C_Reverse_Star_Band_Residual_Adjustment)/tbl_Office_Multi[[B]:[B]]</f>
        <v>139.81042654028434</v>
      </c>
      <c r="CW5" s="36">
        <f>(LEFT(tbl_Office_Multi[[#Headers],[1.5* Max NGE]],3)-tbl_Office_Multi[[A]:[A]]-Office_C_Reverse_Star_Band_Residual_Adjustment)/tbl_Office_Multi[[B]:[B]]</f>
        <v>152.97525013164824</v>
      </c>
      <c r="CX5" s="36">
        <f>(LEFT(tbl_Office_Multi[[#Headers],[1.0* Max NGE]],3)-tbl_Office_Multi[[A]:[A]]-Office_C_Reverse_Star_Band_Residual_Adjustment)/tbl_Office_Multi[[B]:[B]]</f>
        <v>166.14007372301211</v>
      </c>
      <c r="CY5" s="36">
        <f>(LEFT(tbl_Office_Multi[[#Headers],[0.0* Max NGE]],3)-tbl_Office_Multi[[A]:[A]]-Office_C_Reverse_Star_Band_Residual_Adjustment)/tbl_Office_Multi[[B]:[B]]</f>
        <v>192.46972090573985</v>
      </c>
      <c r="CZ5" s="36">
        <f>IF(LEFT(tbl_Office_Multi[[#Headers],[6.0* Max GE]],3)*1&gt;5,
(LEFT(tbl_Office_Multi[[#Headers],[6.0* Max GE]],3)-Office_C_Reverse_Star_Band_Residual_Adjustment-tbl_Office_Multi[[AEnergybeyond5stars]:[AEnergybeyond5stars]])/tbl_Office_Multi[[BEnergybeyond5stars gasMJ]:[BEnergybeyond5stars gasMJ]],
IF(tbl_Office_Multi[[Rating Type]:[Rating Type]]="Base Building",tbl_Office_Multi[[#This Row],[6.0* Max NGE]]/tbl_Office_Multi[[f_basebuilding]:[f_basebuilding]]-tbl_Office_Multi[[GEcorrclimate]:[GEcorrclimate]],
IF(tbl_Office_Multi[[Rating Type]:[Rating Type]]="Tenancy",tbl_Office_Multi[[#This Row],[6.0* Max NGE]]/tbl_Office_Multi[[f_tenancy]:[f_tenancy]]-tbl_Office_Multi[[GEcorrtenancy]:[GEcorrtenancy]],
IF(tbl_Office_Multi[[Rating Type]:[Rating Type]]="Whole Building",(tbl_Office_Multi[[#This Row],[6.0* Max NGE]]-tbl_Office_Multi[[f_tenancy]:[f_tenancy]]*tbl_Office_Multi[[GEcorrtenancy]:[GEcorrtenancy]]-tbl_Office_Multi[[f_basebuilding]:[f_basebuilding]]*tbl_Office_Multi[[GEcorrclimate]:[GEcorrclimate]])/((tbl_Office_Multi[[f_basebuilding]:[f_basebuilding]]+tbl_Office_Multi[[f_tenancy]:[f_tenancy]])/2),0))))</f>
        <v>26.660158686334942</v>
      </c>
      <c r="DA5" s="36">
        <f>IF(LEFT(tbl_Office_Multi[[#Headers],[5.5* Max GE]],3)*1&gt;5,
(LEFT(tbl_Office_Multi[[#Headers],[5.5* Max GE]],3)-Office_C_Reverse_Star_Band_Residual_Adjustment-tbl_Office_Multi[[AEnergybeyond5stars]:[AEnergybeyond5stars]])/tbl_Office_Multi[[BEnergybeyond5stars gasMJ]:[BEnergybeyond5stars gasMJ]],
IF(tbl_Office_Multi[[Rating Type]:[Rating Type]]="Base Building",tbl_Office_Multi[[#This Row],[5.5* Max NGE]]/tbl_Office_Multi[[f_basebuilding]:[f_basebuilding]]-tbl_Office_Multi[[GEcorrclimate]:[GEcorrclimate]],
IF(tbl_Office_Multi[[Rating Type]:[Rating Type]]="Tenancy",tbl_Office_Multi[[#This Row],[5.5* Max NGE]]/tbl_Office_Multi[[f_tenancy]:[f_tenancy]]-tbl_Office_Multi[[GEcorrtenancy]:[GEcorrtenancy]],
IF(tbl_Office_Multi[[Rating Type]:[Rating Type]]="Whole Building",(tbl_Office_Multi[[#This Row],[5.5* Max NGE]]-tbl_Office_Multi[[f_tenancy]:[f_tenancy]]*tbl_Office_Multi[[GEcorrtenancy]:[GEcorrtenancy]]-tbl_Office_Multi[[f_basebuilding]:[f_basebuilding]]*tbl_Office_Multi[[GEcorrclimate]:[GEcorrclimate]])/((tbl_Office_Multi[[f_basebuilding]:[f_basebuilding]]+tbl_Office_Multi[[f_tenancy]:[f_tenancy]])/2),0))))</f>
        <v>39.990104730041978</v>
      </c>
      <c r="DB5" s="36">
        <f>IF(LEFT(tbl_Office_Multi[[#Headers],[5.0* Max GE]],3)*1&gt;5,
(LEFT(tbl_Office_Multi[[#Headers],[5.0* Max GE]],3)-Office_C_Reverse_Star_Band_Residual_Adjustment-tbl_Office_Multi[[AEnergybeyond5stars]:[AEnergybeyond5stars]])/tbl_Office_Multi[[BEnergybeyond5stars gasMJ]:[BEnergybeyond5stars gasMJ]],
IF(tbl_Office_Multi[[Rating Type]:[Rating Type]]="Base Building",tbl_Office_Multi[[#This Row],[5.0* Max NGE]]/tbl_Office_Multi[[f_basebuilding]:[f_basebuilding]]-tbl_Office_Multi[[GEcorrclimate]:[GEcorrclimate]],
IF(tbl_Office_Multi[[Rating Type]:[Rating Type]]="Tenancy",tbl_Office_Multi[[#This Row],[5.0* Max NGE]]/tbl_Office_Multi[[f_tenancy]:[f_tenancy]]-tbl_Office_Multi[[GEcorrtenancy]:[GEcorrtenancy]],
IF(tbl_Office_Multi[[Rating Type]:[Rating Type]]="Whole Building",(tbl_Office_Multi[[#This Row],[5.0* Max NGE]]-tbl_Office_Multi[[f_tenancy]:[f_tenancy]]*tbl_Office_Multi[[GEcorrtenancy]:[GEcorrtenancy]]-tbl_Office_Multi[[f_basebuilding]:[f_basebuilding]]*tbl_Office_Multi[[GEcorrclimate]:[GEcorrclimate]])/((tbl_Office_Multi[[f_basebuilding]:[f_basebuilding]]+tbl_Office_Multi[[f_tenancy]:[f_tenancy]])/2),0))))</f>
        <v>53.319809385465341</v>
      </c>
      <c r="DC5" s="36">
        <f>IF(LEFT(tbl_Office_Multi[[#Headers],[4.5* Max GE]],3)*1&gt;5,
(LEFT(tbl_Office_Multi[[#Headers],[4.5* Max GE]],3)-Office_C_Reverse_Star_Band_Residual_Adjustment-tbl_Office_Multi[[AEnergybeyond5stars]:[AEnergybeyond5stars]])/tbl_Office_Multi[[BEnergybeyond5stars gasMJ]:[BEnergybeyond5stars gasMJ]],
IF(tbl_Office_Multi[[Rating Type]:[Rating Type]]="Base Building",tbl_Office_Multi[[#This Row],[4.5* Max NGE]]/tbl_Office_Multi[[f_basebuilding]:[f_basebuilding]]-tbl_Office_Multi[[GEcorrclimate]:[GEcorrclimate]],
IF(tbl_Office_Multi[[Rating Type]:[Rating Type]]="Tenancy",tbl_Office_Multi[[#This Row],[4.5* Max NGE]]/tbl_Office_Multi[[f_tenancy]:[f_tenancy]]-tbl_Office_Multi[[GEcorrtenancy]:[GEcorrtenancy]],
IF(tbl_Office_Multi[[Rating Type]:[Rating Type]]="Whole Building",(tbl_Office_Multi[[#This Row],[4.5* Max NGE]]-tbl_Office_Multi[[f_tenancy]:[f_tenancy]]*tbl_Office_Multi[[GEcorrtenancy]:[GEcorrtenancy]]-tbl_Office_Multi[[f_basebuilding]:[f_basebuilding]]*tbl_Office_Multi[[GEcorrclimate]:[GEcorrclimate]])/((tbl_Office_Multi[[f_basebuilding]:[f_basebuilding]]+tbl_Office_Multi[[f_tenancy]:[f_tenancy]])/2),0))))</f>
        <v>65.925127974196258</v>
      </c>
      <c r="DD5" s="36">
        <f>IF(LEFT(tbl_Office_Multi[[#Headers],[4.0* Max GE]],3)*1&gt;5,
(LEFT(tbl_Office_Multi[[#Headers],[4.0* Max GE]],3)-Office_C_Reverse_Star_Band_Residual_Adjustment-tbl_Office_Multi[[AEnergybeyond5stars]:[AEnergybeyond5stars]])/tbl_Office_Multi[[BEnergybeyond5stars gasMJ]:[BEnergybeyond5stars gasMJ]],
IF(tbl_Office_Multi[[Rating Type]:[Rating Type]]="Base Building",tbl_Office_Multi[[#This Row],[4.0* Max NGE]]/tbl_Office_Multi[[f_basebuilding]:[f_basebuilding]]-tbl_Office_Multi[[GEcorrclimate]:[GEcorrclimate]],
IF(tbl_Office_Multi[[Rating Type]:[Rating Type]]="Tenancy",tbl_Office_Multi[[#This Row],[4.0* Max NGE]]/tbl_Office_Multi[[f_tenancy]:[f_tenancy]]-tbl_Office_Multi[[GEcorrtenancy]:[GEcorrtenancy]],
IF(tbl_Office_Multi[[Rating Type]:[Rating Type]]="Whole Building",(tbl_Office_Multi[[#This Row],[4.0* Max NGE]]-tbl_Office_Multi[[f_tenancy]:[f_tenancy]]*tbl_Office_Multi[[GEcorrtenancy]:[GEcorrtenancy]]-tbl_Office_Multi[[f_basebuilding]:[f_basebuilding]]*tbl_Office_Multi[[GEcorrclimate]:[GEcorrclimate]])/((tbl_Office_Multi[[f_basebuilding]:[f_basebuilding]]+tbl_Office_Multi[[f_tenancy]:[f_tenancy]])/2),0))))</f>
        <v>78.530446562927153</v>
      </c>
      <c r="DE5" s="36">
        <f>IF(LEFT(tbl_Office_Multi[[#Headers],[3.5* Max GE]],3)*1&gt;5,
(LEFT(tbl_Office_Multi[[#Headers],[3.5* Max GE]],3)-Office_C_Reverse_Star_Band_Residual_Adjustment-tbl_Office_Multi[[AEnergybeyond5stars]:[AEnergybeyond5stars]])/tbl_Office_Multi[[BEnergybeyond5stars gasMJ]:[BEnergybeyond5stars gasMJ]],
IF(tbl_Office_Multi[[Rating Type]:[Rating Type]]="Base Building",tbl_Office_Multi[[#This Row],[3.5* Max NGE]]/tbl_Office_Multi[[f_basebuilding]:[f_basebuilding]]-tbl_Office_Multi[[GEcorrclimate]:[GEcorrclimate]],
IF(tbl_Office_Multi[[Rating Type]:[Rating Type]]="Tenancy",tbl_Office_Multi[[#This Row],[3.5* Max NGE]]/tbl_Office_Multi[[f_tenancy]:[f_tenancy]]-tbl_Office_Multi[[GEcorrtenancy]:[GEcorrtenancy]],
IF(tbl_Office_Multi[[Rating Type]:[Rating Type]]="Whole Building",(tbl_Office_Multi[[#This Row],[3.5* Max NGE]]-tbl_Office_Multi[[f_tenancy]:[f_tenancy]]*tbl_Office_Multi[[GEcorrtenancy]:[GEcorrtenancy]]-tbl_Office_Multi[[f_basebuilding]:[f_basebuilding]]*tbl_Office_Multi[[GEcorrclimate]:[GEcorrclimate]])/((tbl_Office_Multi[[f_basebuilding]:[f_basebuilding]]+tbl_Office_Multi[[f_tenancy]:[f_tenancy]])/2),0))))</f>
        <v>91.135765151658077</v>
      </c>
      <c r="DF5" s="36">
        <f>IF(LEFT(tbl_Office_Multi[[#Headers],[3.0* Max GE]],3)*1&gt;5,
(LEFT(tbl_Office_Multi[[#Headers],[3.0* Max GE]],3)-Office_C_Reverse_Star_Band_Residual_Adjustment-tbl_Office_Multi[[AEnergybeyond5stars]:[AEnergybeyond5stars]])/tbl_Office_Multi[[BEnergybeyond5stars gasMJ]:[BEnergybeyond5stars gasMJ]],
IF(tbl_Office_Multi[[Rating Type]:[Rating Type]]="Base Building",tbl_Office_Multi[[#This Row],[3.0* Max NGE]]/tbl_Office_Multi[[f_basebuilding]:[f_basebuilding]]-tbl_Office_Multi[[GEcorrclimate]:[GEcorrclimate]],
IF(tbl_Office_Multi[[Rating Type]:[Rating Type]]="Tenancy",tbl_Office_Multi[[#This Row],[3.0* Max NGE]]/tbl_Office_Multi[[f_tenancy]:[f_tenancy]]-tbl_Office_Multi[[GEcorrtenancy]:[GEcorrtenancy]],
IF(tbl_Office_Multi[[Rating Type]:[Rating Type]]="Whole Building",(tbl_Office_Multi[[#This Row],[3.0* Max NGE]]-tbl_Office_Multi[[f_tenancy]:[f_tenancy]]*tbl_Office_Multi[[GEcorrtenancy]:[GEcorrtenancy]]-tbl_Office_Multi[[f_basebuilding]:[f_basebuilding]]*tbl_Office_Multi[[GEcorrclimate]:[GEcorrclimate]])/((tbl_Office_Multi[[f_basebuilding]:[f_basebuilding]]+tbl_Office_Multi[[f_tenancy]:[f_tenancy]])/2),0))))</f>
        <v>103.74108374038899</v>
      </c>
      <c r="DG5" s="36">
        <f>IF(LEFT(tbl_Office_Multi[[#Headers],[2.5* Max GE]],3)*1&gt;5,
(LEFT(tbl_Office_Multi[[#Headers],[2.5* Max GE]],3)-Office_C_Reverse_Star_Band_Residual_Adjustment-tbl_Office_Multi[[AEnergybeyond5stars]:[AEnergybeyond5stars]])/tbl_Office_Multi[[BEnergybeyond5stars gasMJ]:[BEnergybeyond5stars gasMJ]],
IF(tbl_Office_Multi[[Rating Type]:[Rating Type]]="Base Building",tbl_Office_Multi[[#This Row],[2.5* Max NGE]]/tbl_Office_Multi[[f_basebuilding]:[f_basebuilding]]-tbl_Office_Multi[[GEcorrclimate]:[GEcorrclimate]],
IF(tbl_Office_Multi[[Rating Type]:[Rating Type]]="Tenancy",tbl_Office_Multi[[#This Row],[2.5* Max NGE]]/tbl_Office_Multi[[f_tenancy]:[f_tenancy]]-tbl_Office_Multi[[GEcorrtenancy]:[GEcorrtenancy]],
IF(tbl_Office_Multi[[Rating Type]:[Rating Type]]="Whole Building",(tbl_Office_Multi[[#This Row],[2.5* Max NGE]]-tbl_Office_Multi[[f_tenancy]:[f_tenancy]]*tbl_Office_Multi[[GEcorrtenancy]:[GEcorrtenancy]]-tbl_Office_Multi[[f_basebuilding]:[f_basebuilding]]*tbl_Office_Multi[[GEcorrclimate]:[GEcorrclimate]])/((tbl_Office_Multi[[f_basebuilding]:[f_basebuilding]]+tbl_Office_Multi[[f_tenancy]:[f_tenancy]])/2),0))))</f>
        <v>116.3464023291199</v>
      </c>
      <c r="DH5" s="36">
        <f>IF(LEFT(tbl_Office_Multi[[#Headers],[2.0* Max GE]],3)*1&gt;5,
(LEFT(tbl_Office_Multi[[#Headers],[2.0* Max GE]],3)-Office_C_Reverse_Star_Band_Residual_Adjustment-tbl_Office_Multi[[AEnergybeyond5stars]:[AEnergybeyond5stars]])/tbl_Office_Multi[[BEnergybeyond5stars gasMJ]:[BEnergybeyond5stars gasMJ]],
IF(tbl_Office_Multi[[Rating Type]:[Rating Type]]="Base Building",tbl_Office_Multi[[#This Row],[2.0* Max NGE]]/tbl_Office_Multi[[f_basebuilding]:[f_basebuilding]]-tbl_Office_Multi[[GEcorrclimate]:[GEcorrclimate]],
IF(tbl_Office_Multi[[Rating Type]:[Rating Type]]="Tenancy",tbl_Office_Multi[[#This Row],[2.0* Max NGE]]/tbl_Office_Multi[[f_tenancy]:[f_tenancy]]-tbl_Office_Multi[[GEcorrtenancy]:[GEcorrtenancy]],
IF(tbl_Office_Multi[[Rating Type]:[Rating Type]]="Whole Building",(tbl_Office_Multi[[#This Row],[2.0* Max NGE]]-tbl_Office_Multi[[f_tenancy]:[f_tenancy]]*tbl_Office_Multi[[GEcorrtenancy]:[GEcorrtenancy]]-tbl_Office_Multi[[f_basebuilding]:[f_basebuilding]]*tbl_Office_Multi[[GEcorrclimate]:[GEcorrclimate]])/((tbl_Office_Multi[[f_basebuilding]:[f_basebuilding]]+tbl_Office_Multi[[f_tenancy]:[f_tenancy]])/2),0))))</f>
        <v>128.95172091785079</v>
      </c>
      <c r="DI5" s="36">
        <f>IF(LEFT(tbl_Office_Multi[[#Headers],[1.5* Max GE]],3)*1&gt;5,
(LEFT(tbl_Office_Multi[[#Headers],[1.5* Max GE]],3)-Office_C_Reverse_Star_Band_Residual_Adjustment-tbl_Office_Multi[[AEnergybeyond5stars]:[AEnergybeyond5stars]])/tbl_Office_Multi[[BEnergybeyond5stars gasMJ]:[BEnergybeyond5stars gasMJ]],
IF(tbl_Office_Multi[[Rating Type]:[Rating Type]]="Base Building",tbl_Office_Multi[[#This Row],[1.5* Max NGE]]/tbl_Office_Multi[[f_basebuilding]:[f_basebuilding]]-tbl_Office_Multi[[GEcorrclimate]:[GEcorrclimate]],
IF(tbl_Office_Multi[[Rating Type]:[Rating Type]]="Tenancy",tbl_Office_Multi[[#This Row],[1.5* Max NGE]]/tbl_Office_Multi[[f_tenancy]:[f_tenancy]]-tbl_Office_Multi[[GEcorrtenancy]:[GEcorrtenancy]],
IF(tbl_Office_Multi[[Rating Type]:[Rating Type]]="Whole Building",(tbl_Office_Multi[[#This Row],[1.5* Max NGE]]-tbl_Office_Multi[[f_tenancy]:[f_tenancy]]*tbl_Office_Multi[[GEcorrtenancy]:[GEcorrtenancy]]-tbl_Office_Multi[[f_basebuilding]:[f_basebuilding]]*tbl_Office_Multi[[GEcorrclimate]:[GEcorrclimate]])/((tbl_Office_Multi[[f_basebuilding]:[f_basebuilding]]+tbl_Office_Multi[[f_tenancy]:[f_tenancy]])/2),0))))</f>
        <v>141.55703950658173</v>
      </c>
      <c r="DJ5" s="36">
        <f>IF(LEFT(tbl_Office_Multi[[#Headers],[1.0* Max GE]],3)*1&gt;5,
(LEFT(tbl_Office_Multi[[#Headers],[1.0* Max GE]],3)-Office_C_Reverse_Star_Band_Residual_Adjustment-tbl_Office_Multi[[AEnergybeyond5stars]:[AEnergybeyond5stars]])/tbl_Office_Multi[[BEnergybeyond5stars gasMJ]:[BEnergybeyond5stars gasMJ]],
IF(tbl_Office_Multi[[Rating Type]:[Rating Type]]="Base Building",tbl_Office_Multi[[#This Row],[1.0* Max NGE]]/tbl_Office_Multi[[f_basebuilding]:[f_basebuilding]]-tbl_Office_Multi[[GEcorrclimate]:[GEcorrclimate]],
IF(tbl_Office_Multi[[Rating Type]:[Rating Type]]="Tenancy",tbl_Office_Multi[[#This Row],[1.0* Max NGE]]/tbl_Office_Multi[[f_tenancy]:[f_tenancy]]-tbl_Office_Multi[[GEcorrtenancy]:[GEcorrtenancy]],
IF(tbl_Office_Multi[[Rating Type]:[Rating Type]]="Whole Building",(tbl_Office_Multi[[#This Row],[1.0* Max NGE]]-tbl_Office_Multi[[f_tenancy]:[f_tenancy]]*tbl_Office_Multi[[GEcorrtenancy]:[GEcorrtenancy]]-tbl_Office_Multi[[f_basebuilding]:[f_basebuilding]]*tbl_Office_Multi[[GEcorrclimate]:[GEcorrclimate]])/((tbl_Office_Multi[[f_basebuilding]:[f_basebuilding]]+tbl_Office_Multi[[f_tenancy]:[f_tenancy]])/2),0))))</f>
        <v>154.16235809531264</v>
      </c>
      <c r="DK5" s="36">
        <f>IF(LEFT(tbl_Office_Multi[[#Headers],[0.0* Max GE]],3)*1&gt;5,
(LEFT(tbl_Office_Multi[[#Headers],[0.0* Max GE]],3)-Office_C_Reverse_Star_Band_Residual_Adjustment-tbl_Office_Multi[[AEnergybeyond5stars]:[AEnergybeyond5stars]])/tbl_Office_Multi[[BEnergybeyond5stars gasMJ]:[BEnergybeyond5stars gasMJ]],
IF(tbl_Office_Multi[[Rating Type]:[Rating Type]]="Base Building",tbl_Office_Multi[[#This Row],[0.0* Max NGE]]/tbl_Office_Multi[[f_basebuilding]:[f_basebuilding]]-tbl_Office_Multi[[GEcorrclimate]:[GEcorrclimate]],
IF(tbl_Office_Multi[[Rating Type]:[Rating Type]]="Tenancy",tbl_Office_Multi[[#This Row],[0.0* Max NGE]]/tbl_Office_Multi[[f_tenancy]:[f_tenancy]]-tbl_Office_Multi[[GEcorrtenancy]:[GEcorrtenancy]],
IF(tbl_Office_Multi[[Rating Type]:[Rating Type]]="Whole Building",(tbl_Office_Multi[[#This Row],[0.0* Max NGE]]-tbl_Office_Multi[[f_tenancy]:[f_tenancy]]*tbl_Office_Multi[[GEcorrtenancy]:[GEcorrtenancy]]-tbl_Office_Multi[[f_basebuilding]:[f_basebuilding]]*tbl_Office_Multi[[GEcorrclimate]:[GEcorrclimate]])/((tbl_Office_Multi[[f_basebuilding]:[f_basebuilding]]+tbl_Office_Multi[[f_tenancy]:[f_tenancy]])/2),0))))</f>
        <v>179.37299527277446</v>
      </c>
      <c r="DL5" s="44">
        <f>tbl_Office_Multi[[#This Row],[6.0* Max GE]]*tbl_Office_Multi[[NLA]:[NLA]]</f>
        <v>36167.171273881977</v>
      </c>
      <c r="DM5" s="44">
        <f>tbl_Office_Multi[[#This Row],[5.5* Max GE]]*tbl_Office_Multi[[NLA]:[NLA]]</f>
        <v>54250.576076774945</v>
      </c>
      <c r="DN5" s="44">
        <f>tbl_Office_Multi[[#This Row],[5.0* Max GE]]*tbl_Office_Multi[[NLA]:[NLA]]</f>
        <v>72333.653412322281</v>
      </c>
      <c r="DO5" s="44">
        <f>tbl_Office_Multi[[#This Row],[4.5* Max GE]]*tbl_Office_Multi[[NLA]:[NLA]]</f>
        <v>89434.028609794637</v>
      </c>
      <c r="DP5" s="44">
        <f>tbl_Office_Multi[[#This Row],[4.0* Max GE]]*tbl_Office_Multi[[NLA]:[NLA]]</f>
        <v>106534.40380726696</v>
      </c>
      <c r="DQ5" s="44">
        <f>tbl_Office_Multi[[#This Row],[3.5* Max GE]]*tbl_Office_Multi[[NLA]:[NLA]]</f>
        <v>123634.77900473934</v>
      </c>
      <c r="DR5" s="44">
        <f>tbl_Office_Multi[[#This Row],[3.0* Max GE]]*tbl_Office_Multi[[NLA]:[NLA]]</f>
        <v>140735.15420221168</v>
      </c>
      <c r="DS5" s="44">
        <f>tbl_Office_Multi[[#This Row],[2.5* Max GE]]*tbl_Office_Multi[[NLA]:[NLA]]</f>
        <v>157835.52939968405</v>
      </c>
      <c r="DT5" s="44">
        <f>tbl_Office_Multi[[#This Row],[2.0* Max GE]]*tbl_Office_Multi[[NLA]:[NLA]]</f>
        <v>174935.90459715636</v>
      </c>
      <c r="DU5" s="44">
        <f>tbl_Office_Multi[[#This Row],[1.5* Max GE]]*tbl_Office_Multi[[NLA]:[NLA]]</f>
        <v>192036.27979462876</v>
      </c>
      <c r="DV5" s="44">
        <f>tbl_Office_Multi[[#This Row],[1.0* Max GE]]*tbl_Office_Multi[[NLA]:[NLA]]</f>
        <v>209136.6549921011</v>
      </c>
      <c r="DW5" s="44">
        <f>tbl_Office_Multi[[#This Row],[0.0* Max GE]]*tbl_Office_Multi[[NLA]:[NLA]]</f>
        <v>243337.40538704582</v>
      </c>
      <c r="DX5" s="44">
        <f>tbl_Office_Multi[[#This Row],[6.0* Max CO2]]/tbl_Office_Multi[[EffGHGMJ]:[EffGHGMJ]]</f>
        <v>144668.68509552791</v>
      </c>
      <c r="DY5" s="44">
        <f>tbl_Office_Multi[[#This Row],[5.5* Max CO2]]/tbl_Office_Multi[[EffGHGMJ]:[EffGHGMJ]]</f>
        <v>217002.30430709978</v>
      </c>
      <c r="DZ5" s="44">
        <f>tbl_Office_Multi[[#This Row],[5.0* Max CO2]]/tbl_Office_Multi[[EffGHGMJ]:[EffGHGMJ]]</f>
        <v>289334.61364928912</v>
      </c>
      <c r="EA5" s="44">
        <f>tbl_Office_Multi[[#This Row],[4.5* Max CO2]]/tbl_Office_Multi[[EffGHGMJ]:[EffGHGMJ]]</f>
        <v>357736.11443917855</v>
      </c>
      <c r="EB5" s="44">
        <f>tbl_Office_Multi[[#This Row],[4.0* Max CO2]]/tbl_Office_Multi[[EffGHGMJ]:[EffGHGMJ]]</f>
        <v>426137.61522906786</v>
      </c>
      <c r="EC5" s="44">
        <f>tbl_Office_Multi[[#This Row],[3.5* Max CO2]]/tbl_Office_Multi[[EffGHGMJ]:[EffGHGMJ]]</f>
        <v>494539.11601895734</v>
      </c>
      <c r="ED5" s="44">
        <f>tbl_Office_Multi[[#This Row],[3.0* Max CO2]]/tbl_Office_Multi[[EffGHGMJ]:[EffGHGMJ]]</f>
        <v>562940.61680884671</v>
      </c>
      <c r="EE5" s="44">
        <f>tbl_Office_Multi[[#This Row],[2.5* Max CO2]]/tbl_Office_Multi[[EffGHGMJ]:[EffGHGMJ]]</f>
        <v>631342.11759873619</v>
      </c>
      <c r="EF5" s="44">
        <f>tbl_Office_Multi[[#This Row],[2.0* Max CO2]]/tbl_Office_Multi[[EffGHGMJ]:[EffGHGMJ]]</f>
        <v>699743.61838862544</v>
      </c>
      <c r="EG5" s="44">
        <f>tbl_Office_Multi[[#This Row],[1.5* Max CO2]]/tbl_Office_Multi[[EffGHGMJ]:[EffGHGMJ]]</f>
        <v>768145.11917851504</v>
      </c>
      <c r="EH5" s="44">
        <f>tbl_Office_Multi[[#This Row],[1.0* Max CO2]]/tbl_Office_Multi[[EffGHGMJ]:[EffGHGMJ]]</f>
        <v>836546.61996840441</v>
      </c>
      <c r="EI5" s="44">
        <f>tbl_Office_Multi[[#This Row],[0.0* Max CO2]]/tbl_Office_Multi[[EffGHGMJ]:[EffGHGMJ]]</f>
        <v>973349.62154818326</v>
      </c>
      <c r="EJ5" s="44">
        <f>ROUNDDOWN(tbl_Office_Multi[[#This Row],[6.0* Max Energy (MJ)]]*tbl_Office_Multi[[Electricity (%)]:[Electricity (%)]]/tbl_Office_Multi[[CFelec]:[CFelec]],0)</f>
        <v>40185</v>
      </c>
      <c r="EK5" s="44">
        <f>ROUNDDOWN(tbl_Office_Multi[[#This Row],[5.5* Max Energy (MJ)]]*tbl_Office_Multi[[Electricity (%)]:[Electricity (%)]]/tbl_Office_Multi[[CFelec]:[CFelec]],0)</f>
        <v>60278</v>
      </c>
      <c r="EL5" s="44">
        <f>ROUNDDOWN(tbl_Office_Multi[[#This Row],[5.0* Max Energy (MJ)]]*tbl_Office_Multi[[Electricity (%)]:[Electricity (%)]]/tbl_Office_Multi[[CFelec]:[CFelec]],0)</f>
        <v>80370</v>
      </c>
      <c r="EM5" s="44">
        <f>ROUNDDOWN(tbl_Office_Multi[[#This Row],[4.5* Max Energy (MJ)]]*tbl_Office_Multi[[Electricity (%)]:[Electricity (%)]]/tbl_Office_Multi[[CFelec]:[CFelec]],0)</f>
        <v>99371</v>
      </c>
      <c r="EN5" s="44">
        <f>ROUNDDOWN(tbl_Office_Multi[[#This Row],[4.0* Max Energy (MJ)]]*tbl_Office_Multi[[Electricity (%)]:[Electricity (%)]]/tbl_Office_Multi[[CFelec]:[CFelec]],0)</f>
        <v>118371</v>
      </c>
      <c r="EO5" s="44">
        <f>ROUNDDOWN(tbl_Office_Multi[[#This Row],[3.5* Max Energy (MJ)]]*tbl_Office_Multi[[Electricity (%)]:[Electricity (%)]]/tbl_Office_Multi[[CFelec]:[CFelec]],0)</f>
        <v>137371</v>
      </c>
      <c r="EP5" s="44">
        <f>ROUNDDOWN(tbl_Office_Multi[[#This Row],[3.0* Max Energy (MJ)]]*tbl_Office_Multi[[Electricity (%)]:[Electricity (%)]]/tbl_Office_Multi[[CFelec]:[CFelec]],0)</f>
        <v>156372</v>
      </c>
      <c r="EQ5" s="44">
        <f>ROUNDDOWN(tbl_Office_Multi[[#This Row],[2.5* Max Energy (MJ)]]*tbl_Office_Multi[[Electricity (%)]:[Electricity (%)]]/tbl_Office_Multi[[CFelec]:[CFelec]],0)</f>
        <v>175372</v>
      </c>
      <c r="ER5" s="44">
        <f>ROUNDDOWN(tbl_Office_Multi[[#This Row],[2.0* Max Energy (MJ)]]*tbl_Office_Multi[[Electricity (%)]:[Electricity (%)]]/tbl_Office_Multi[[CFelec]:[CFelec]],0)</f>
        <v>194373</v>
      </c>
      <c r="ES5" s="44">
        <f>ROUNDDOWN(tbl_Office_Multi[[#This Row],[1.5* Max Energy (MJ)]]*tbl_Office_Multi[[Electricity (%)]:[Electricity (%)]]/tbl_Office_Multi[[CFelec]:[CFelec]],0)</f>
        <v>213373</v>
      </c>
      <c r="ET5" s="44">
        <f>ROUNDDOWN(tbl_Office_Multi[[#This Row],[1.0* Max Energy (MJ)]]*tbl_Office_Multi[[Electricity (%)]:[Electricity (%)]]/tbl_Office_Multi[[CFelec]:[CFelec]],0)</f>
        <v>232374</v>
      </c>
      <c r="EU5" s="44">
        <f>ROUNDDOWN(tbl_Office_Multi[[#This Row],[0.0* Max Energy (MJ)]]*tbl_Office_Multi[[Electricity (%)]:[Electricity (%)]]/tbl_Office_Multi[[CFelec]:[CFelec]],0)</f>
        <v>270374</v>
      </c>
      <c r="EV5" s="44">
        <f>ROUNDDOWN(tbl_Office_Multi[[#This Row],[6.0* Max Energy (MJ)]]*tbl_Office_Multi[[Gas (%)]:[Gas (%)]],0)</f>
        <v>0</v>
      </c>
      <c r="EW5" s="44">
        <f>ROUNDDOWN(tbl_Office_Multi[[#This Row],[5.5* Max Energy (MJ)]]*tbl_Office_Multi[[Gas (%)]:[Gas (%)]],0)</f>
        <v>0</v>
      </c>
      <c r="EX5" s="44">
        <f>ROUNDDOWN(tbl_Office_Multi[[#This Row],[5.0* Max Energy (MJ)]]*tbl_Office_Multi[[Gas (%)]:[Gas (%)]],0)</f>
        <v>0</v>
      </c>
      <c r="EY5" s="44">
        <f>ROUNDDOWN(tbl_Office_Multi[[#This Row],[4.5* Max Energy (MJ)]]*tbl_Office_Multi[[Gas (%)]:[Gas (%)]],0)</f>
        <v>0</v>
      </c>
      <c r="EZ5" s="44">
        <f>ROUNDDOWN(tbl_Office_Multi[[#This Row],[4.0* Max Energy (MJ)]]*tbl_Office_Multi[[Gas (%)]:[Gas (%)]],0)</f>
        <v>0</v>
      </c>
      <c r="FA5" s="44">
        <f>ROUNDDOWN(tbl_Office_Multi[[#This Row],[3.5* Max Energy (MJ)]]*tbl_Office_Multi[[Gas (%)]:[Gas (%)]],0)</f>
        <v>0</v>
      </c>
      <c r="FB5" s="44">
        <f>ROUNDDOWN(tbl_Office_Multi[[#This Row],[3.0* Max Energy (MJ)]]*tbl_Office_Multi[[Gas (%)]:[Gas (%)]],0)</f>
        <v>0</v>
      </c>
      <c r="FC5" s="44">
        <f>ROUNDDOWN(tbl_Office_Multi[[#This Row],[2.5* Max Energy (MJ)]]*tbl_Office_Multi[[Gas (%)]:[Gas (%)]],0)</f>
        <v>0</v>
      </c>
      <c r="FD5" s="44">
        <f>ROUNDDOWN(tbl_Office_Multi[[#This Row],[2.0* Max Energy (MJ)]]*tbl_Office_Multi[[Gas (%)]:[Gas (%)]],0)</f>
        <v>0</v>
      </c>
      <c r="FE5" s="44">
        <f>ROUNDDOWN(tbl_Office_Multi[[#This Row],[1.5* Max Energy (MJ)]]*tbl_Office_Multi[[Gas (%)]:[Gas (%)]],0)</f>
        <v>0</v>
      </c>
      <c r="FF5" s="44">
        <f>ROUNDDOWN(tbl_Office_Multi[[#This Row],[1.0* Max Energy (MJ)]]*tbl_Office_Multi[[Gas (%)]:[Gas (%)]],0)</f>
        <v>0</v>
      </c>
      <c r="FG5" s="44">
        <f>ROUNDDOWN(tbl_Office_Multi[[#This Row],[0.0* Max Energy (MJ)]]*tbl_Office_Multi[[Gas (%)]:[Gas (%)]],0)</f>
        <v>0</v>
      </c>
      <c r="FH5" s="44">
        <f>ROUNDDOWN(tbl_Office_Multi[[#This Row],[6.0* Max Energy (MJ)]]*tbl_Office_Multi[[Diesel (%)]:[Diesel (%)]]/tbl_Office_Multi[[CFdiesel]:[CFdiesel]],0)</f>
        <v>0</v>
      </c>
      <c r="FI5" s="44">
        <f>ROUNDDOWN(tbl_Office_Multi[[#This Row],[5.5* Max Energy (MJ)]]*tbl_Office_Multi[[Diesel (%)]:[Diesel (%)]]/tbl_Office_Multi[[CFdiesel]:[CFdiesel]],0)</f>
        <v>0</v>
      </c>
      <c r="FJ5" s="44">
        <f>ROUNDDOWN(tbl_Office_Multi[[#This Row],[5.0* Max Energy (MJ)]]*tbl_Office_Multi[[Diesel (%)]:[Diesel (%)]]/tbl_Office_Multi[[CFdiesel]:[CFdiesel]],0)</f>
        <v>0</v>
      </c>
      <c r="FK5" s="44">
        <f>ROUNDDOWN(tbl_Office_Multi[[#This Row],[4.5* Max Energy (MJ)]]*tbl_Office_Multi[[Diesel (%)]:[Diesel (%)]]/tbl_Office_Multi[[CFdiesel]:[CFdiesel]],0)</f>
        <v>0</v>
      </c>
      <c r="FL5" s="44">
        <f>ROUNDDOWN(tbl_Office_Multi[[#This Row],[4.0* Max Energy (MJ)]]*tbl_Office_Multi[[Diesel (%)]:[Diesel (%)]]/tbl_Office_Multi[[CFdiesel]:[CFdiesel]],0)</f>
        <v>0</v>
      </c>
      <c r="FM5" s="44">
        <f>ROUNDDOWN(tbl_Office_Multi[[#This Row],[3.5* Max Energy (MJ)]]*tbl_Office_Multi[[Diesel (%)]:[Diesel (%)]]/tbl_Office_Multi[[CFdiesel]:[CFdiesel]],0)</f>
        <v>0</v>
      </c>
      <c r="FN5" s="44">
        <f>ROUNDDOWN(tbl_Office_Multi[[#This Row],[3.0* Max Energy (MJ)]]*tbl_Office_Multi[[Diesel (%)]:[Diesel (%)]]/tbl_Office_Multi[[CFdiesel]:[CFdiesel]],0)</f>
        <v>0</v>
      </c>
      <c r="FO5" s="44">
        <f>ROUNDDOWN(tbl_Office_Multi[[#This Row],[2.5* Max Energy (MJ)]]*tbl_Office_Multi[[Diesel (%)]:[Diesel (%)]]/tbl_Office_Multi[[CFdiesel]:[CFdiesel]],0)</f>
        <v>0</v>
      </c>
      <c r="FP5" s="44">
        <f>ROUNDDOWN(tbl_Office_Multi[[#This Row],[2.0* Max Energy (MJ)]]*tbl_Office_Multi[[Diesel (%)]:[Diesel (%)]]/tbl_Office_Multi[[CFdiesel]:[CFdiesel]],0)</f>
        <v>0</v>
      </c>
      <c r="FQ5" s="44">
        <f>ROUNDDOWN(tbl_Office_Multi[[#This Row],[1.5* Max Energy (MJ)]]*tbl_Office_Multi[[Diesel (%)]:[Diesel (%)]]/tbl_Office_Multi[[CFdiesel]:[CFdiesel]],0)</f>
        <v>0</v>
      </c>
      <c r="FR5" s="44">
        <f>ROUNDDOWN(tbl_Office_Multi[[#This Row],[1.0* Max Energy (MJ)]]*tbl_Office_Multi[[Diesel (%)]:[Diesel (%)]]/tbl_Office_Multi[[CFdiesel]:[CFdiesel]],0)</f>
        <v>0</v>
      </c>
      <c r="FS5" s="44">
        <f>ROUNDDOWN(tbl_Office_Multi[[#This Row],[0.0* Max Energy (MJ)]]*tbl_Office_Multi[[Diesel (%)]:[Diesel (%)]]/tbl_Office_Multi[[CFdiesel]:[CFdiesel]],0)</f>
        <v>0</v>
      </c>
      <c r="FT5" s="48" t="str">
        <f>IF(LEFT(tbl_Office_Multi[[#Headers],[6.0* w1]],3)*1&lt;=5,tbl_Office_Multi[[M star]:[M star]]-((LEFT(tbl_Office_Multi[[#Headers],[6.0* w1]],3)*1-IF(LEFT(tbl_Office_Multi[[#Headers],[6.0* w1]],3)*1=5,Office_C_W_R_star_rating_offset_at_5_stars,Office_C_W_R_star_rating_offset))/Office_C_W_Median_Rating-1)*(tbl_Office_Multi[[M star]:[M star]]-tbl_Office_Multi[[Alpha star]:[Alpha star]]),"N/A")</f>
        <v>N/A</v>
      </c>
      <c r="FU5" s="48" t="str">
        <f>IF(LEFT(tbl_Office_Multi[[#Headers],[5.5* w1]],3)*1&lt;=5,tbl_Office_Multi[[M star]:[M star]]-((LEFT(tbl_Office_Multi[[#Headers],[5.5* w1]],3)*1-IF(LEFT(tbl_Office_Multi[[#Headers],[5.5* w1]],3)*1=5,Office_C_W_R_star_rating_offset_at_5_stars,Office_C_W_R_star_rating_offset))/Office_C_W_Median_Rating-1)*(tbl_Office_Multi[[M star]:[M star]]-tbl_Office_Multi[[Alpha star]:[Alpha star]]),"N/A")</f>
        <v>N/A</v>
      </c>
      <c r="FV5" s="48">
        <f>IF(LEFT(tbl_Office_Multi[[#Headers],[5.0* w1]],3)*1&lt;=5,tbl_Office_Multi[[M star]:[M star]]-((LEFT(tbl_Office_Multi[[#Headers],[5.0* w1]],3)*1-IF(LEFT(tbl_Office_Multi[[#Headers],[5.0* w1]],3)*1=5,Office_C_W_R_star_rating_offset_at_5_stars,Office_C_W_R_star_rating_offset))/Office_C_W_Median_Rating-1)*(tbl_Office_Multi[[M star]:[M star]]-tbl_Office_Multi[[Alpha star]:[Alpha star]]),"N/A")</f>
        <v>0.33399840711111106</v>
      </c>
      <c r="FW5" s="48">
        <f>IF(LEFT(tbl_Office_Multi[[#Headers],[4.5* w1]],3)*1&lt;=5,tbl_Office_Multi[[M star]:[M star]]-((LEFT(tbl_Office_Multi[[#Headers],[4.5* w1]],3)*1-IF(LEFT(tbl_Office_Multi[[#Headers],[4.5* w1]],3)*1=5,Office_C_W_R_star_rating_offset_at_5_stars,Office_C_W_R_star_rating_offset))/Office_C_W_Median_Rating-1)*(tbl_Office_Multi[[M star]:[M star]]-tbl_Office_Multi[[Alpha star]:[Alpha star]]),"N/A")</f>
        <v>0.41364444444444443</v>
      </c>
      <c r="FX5" s="48">
        <f>IF(LEFT(tbl_Office_Multi[[#Headers],[4.0* w1]],3)*1&lt;=5,tbl_Office_Multi[[M star]:[M star]]-((LEFT(tbl_Office_Multi[[#Headers],[4.0* w1]],3)*1-IF(LEFT(tbl_Office_Multi[[#Headers],[4.0* w1]],3)*1=5,Office_C_W_R_star_rating_offset_at_5_stars,Office_C_W_R_star_rating_offset))/Office_C_W_Median_Rating-1)*(tbl_Office_Multi[[M star]:[M star]]-tbl_Office_Multi[[Alpha star]:[Alpha star]]),"N/A")</f>
        <v>0.49328888888888878</v>
      </c>
      <c r="FY5" s="48">
        <f>IF(LEFT(tbl_Office_Multi[[#Headers],[3.5* w1]],3)*1&lt;=5,tbl_Office_Multi[[M star]:[M star]]-((LEFT(tbl_Office_Multi[[#Headers],[3.5* w1]],3)*1-IF(LEFT(tbl_Office_Multi[[#Headers],[3.5* w1]],3)*1=5,Office_C_W_R_star_rating_offset_at_5_stars,Office_C_W_R_star_rating_offset))/Office_C_W_Median_Rating-1)*(tbl_Office_Multi[[M star]:[M star]]-tbl_Office_Multi[[Alpha star]:[Alpha star]]),"N/A")</f>
        <v>0.57293333333333329</v>
      </c>
      <c r="FZ5" s="48">
        <f>IF(LEFT(tbl_Office_Multi[[#Headers],[3.0* w1]],3)*1&lt;=5,tbl_Office_Multi[[M star]:[M star]]-((LEFT(tbl_Office_Multi[[#Headers],[3.0* w1]],3)*1-IF(LEFT(tbl_Office_Multi[[#Headers],[3.0* w1]],3)*1=5,Office_C_W_R_star_rating_offset_at_5_stars,Office_C_W_R_star_rating_offset))/Office_C_W_Median_Rating-1)*(tbl_Office_Multi[[M star]:[M star]]-tbl_Office_Multi[[Alpha star]:[Alpha star]]),"N/A")</f>
        <v>0.6525777777777777</v>
      </c>
      <c r="GA5" s="48">
        <f>IF(LEFT(tbl_Office_Multi[[#Headers],[2.5* w1]],3)*1&lt;=5,tbl_Office_Multi[[M star]:[M star]]-((LEFT(tbl_Office_Multi[[#Headers],[2.5* w1]],3)*1-IF(LEFT(tbl_Office_Multi[[#Headers],[2.5* w1]],3)*1=5,Office_C_W_R_star_rating_offset_at_5_stars,Office_C_W_R_star_rating_offset))/Office_C_W_Median_Rating-1)*(tbl_Office_Multi[[M star]:[M star]]-tbl_Office_Multi[[Alpha star]:[Alpha star]]),"N/A")</f>
        <v>0.73222222222222211</v>
      </c>
      <c r="GB5" s="48">
        <f>IF(LEFT(tbl_Office_Multi[[#Headers],[2.0* w1]],3)*1&lt;=5,tbl_Office_Multi[[M star]:[M star]]-((LEFT(tbl_Office_Multi[[#Headers],[2.0* w1]],3)*1-IF(LEFT(tbl_Office_Multi[[#Headers],[2.0* w1]],3)*1=5,Office_C_W_R_star_rating_offset_at_5_stars,Office_C_W_R_star_rating_offset))/Office_C_W_Median_Rating-1)*(tbl_Office_Multi[[M star]:[M star]]-tbl_Office_Multi[[Alpha star]:[Alpha star]]),"N/A")</f>
        <v>0.81186666666666651</v>
      </c>
      <c r="GC5" s="48">
        <f>IF(LEFT(tbl_Office_Multi[[#Headers],[1.5* w1]],3)*1&lt;=5,tbl_Office_Multi[[M star]:[M star]]-((LEFT(tbl_Office_Multi[[#Headers],[1.5* w1]],3)*1-IF(LEFT(tbl_Office_Multi[[#Headers],[1.5* w1]],3)*1=5,Office_C_W_R_star_rating_offset_at_5_stars,Office_C_W_R_star_rating_offset))/Office_C_W_Median_Rating-1)*(tbl_Office_Multi[[M star]:[M star]]-tbl_Office_Multi[[Alpha star]:[Alpha star]]),"N/A")</f>
        <v>0.89151111111111103</v>
      </c>
      <c r="GD5" s="48">
        <f>IF(LEFT(tbl_Office_Multi[[#Headers],[1.0* w1]],3)*1&lt;=5,tbl_Office_Multi[[M star]:[M star]]-((LEFT(tbl_Office_Multi[[#Headers],[1.0* w1]],3)*1-IF(LEFT(tbl_Office_Multi[[#Headers],[1.0* w1]],3)*1=5,Office_C_W_R_star_rating_offset_at_5_stars,Office_C_W_R_star_rating_offset))/Office_C_W_Median_Rating-1)*(tbl_Office_Multi[[M star]:[M star]]-tbl_Office_Multi[[Alpha star]:[Alpha star]]),"N/A")</f>
        <v>0.97115555555555544</v>
      </c>
      <c r="GE5" s="48">
        <f>IF(LEFT(tbl_Office_Multi[[#Headers],[0.0* w1]],3)*1&lt;=5,tbl_Office_Multi[[M star]:[M star]]-((LEFT(tbl_Office_Multi[[#Headers],[0.0* w1]],3)*1-IF(LEFT(tbl_Office_Multi[[#Headers],[0.0* w1]],3)*1=5,Office_C_W_R_star_rating_offset_at_5_stars,Office_C_W_R_star_rating_offset))/Office_C_W_Median_Rating-1)*(tbl_Office_Multi[[M star]:[M star]]-tbl_Office_Multi[[Alpha star]:[Alpha star]]),"N/A")</f>
        <v>1.1304444444444444</v>
      </c>
      <c r="GF5" s="48" t="str">
        <f>IF(LEFT(tbl_Office_Multi[[#Headers],[6.0* w2]],3)*1&lt;=5,Office_C_W_M_star_Intercept+Office_C_W_Alpha_Star_Hrs_Coefficient*(tbl_Office_Multi[[Hrs]:[Hrs]]-Office_C_W_Hrs_Offset)-Office_C_W2_Hrs_Ratio*((LEFT(tbl_Office_Multi[[#Headers],[6.0* w2]],3)*1-IF(LEFT(tbl_Office_Multi[[#Headers],[6.0* w2]],3)*1=5,Office_C_W_R_star_rating_offset_at_5_stars,Office_C_W_R_star_rating_offset))/Office_C_W_Median_Rating-1),"N/A")</f>
        <v>N/A</v>
      </c>
      <c r="GG5" s="48" t="str">
        <f>IF(LEFT(tbl_Office_Multi[[#Headers],[5.5* w2]],3)*1&lt;=5,Office_C_W_M_star_Intercept+Office_C_W_Alpha_Star_Hrs_Coefficient*(tbl_Office_Multi[[Hrs]:[Hrs]]-Office_C_W_Hrs_Offset)-Office_C_W2_Hrs_Ratio*((LEFT(tbl_Office_Multi[[#Headers],[5.5* w2]],3)*1-IF(LEFT(tbl_Office_Multi[[#Headers],[5.5* w2]],3)*1=5,Office_C_W_R_star_rating_offset_at_5_stars,Office_C_W_R_star_rating_offset))/Office_C_W_Median_Rating-1),"N/A")</f>
        <v>N/A</v>
      </c>
      <c r="GH5" s="48">
        <f>IF(LEFT(tbl_Office_Multi[[#Headers],[5.0* w2]],3)*1&lt;=5,Office_C_W_M_star_Intercept+Office_C_W_Alpha_Star_Hrs_Coefficient*(tbl_Office_Multi[[Hrs]:[Hrs]]-Office_C_W_Hrs_Offset)-Office_C_W2_Hrs_Ratio*((LEFT(tbl_Office_Multi[[#Headers],[5.0* w2]],3)*1-IF(LEFT(tbl_Office_Multi[[#Headers],[5.0* w2]],3)*1=5,Office_C_W_R_star_rating_offset_at_5_stars,Office_C_W_R_star_rating_offset))/Office_C_W_Median_Rating-1),"N/A")</f>
        <v>0.33399871111111112</v>
      </c>
      <c r="GI5" s="48">
        <f>IF(LEFT(tbl_Office_Multi[[#Headers],[4.5* w2]],3)*1&lt;=5,Office_C_W_M_star_Intercept+Office_C_W_Alpha_Star_Hrs_Coefficient*(tbl_Office_Multi[[Hrs]:[Hrs]]-Office_C_W_Hrs_Offset)-Office_C_W2_Hrs_Ratio*((LEFT(tbl_Office_Multi[[#Headers],[4.5* w2]],3)*1-IF(LEFT(tbl_Office_Multi[[#Headers],[4.5* w2]],3)*1=5,Office_C_W_R_star_rating_offset_at_5_stars,Office_C_W_R_star_rating_offset))/Office_C_W_Median_Rating-1),"N/A")</f>
        <v>0.39844444444444449</v>
      </c>
      <c r="GJ5" s="48">
        <f>IF(LEFT(tbl_Office_Multi[[#Headers],[4.0* w2]],3)*1&lt;=5,Office_C_W_M_star_Intercept+Office_C_W_Alpha_Star_Hrs_Coefficient*(tbl_Office_Multi[[Hrs]:[Hrs]]-Office_C_W_Hrs_Offset)-Office_C_W2_Hrs_Ratio*((LEFT(tbl_Office_Multi[[#Headers],[4.0* w2]],3)*1-IF(LEFT(tbl_Office_Multi[[#Headers],[4.0* w2]],3)*1=5,Office_C_W_R_star_rating_offset_at_5_stars,Office_C_W_R_star_rating_offset))/Office_C_W_Median_Rating-1),"N/A")</f>
        <v>0.46288888888888891</v>
      </c>
      <c r="GK5" s="48">
        <f>IF(LEFT(tbl_Office_Multi[[#Headers],[3.5* w2]],3)*1&lt;=5,Office_C_W_M_star_Intercept+Office_C_W_Alpha_Star_Hrs_Coefficient*(tbl_Office_Multi[[Hrs]:[Hrs]]-Office_C_W_Hrs_Offset)-Office_C_W2_Hrs_Ratio*((LEFT(tbl_Office_Multi[[#Headers],[3.5* w2]],3)*1-IF(LEFT(tbl_Office_Multi[[#Headers],[3.5* w2]],3)*1=5,Office_C_W_R_star_rating_offset_at_5_stars,Office_C_W_R_star_rating_offset))/Office_C_W_Median_Rating-1),"N/A")</f>
        <v>0.52733333333333332</v>
      </c>
      <c r="GL5" s="48">
        <f>IF(LEFT(tbl_Office_Multi[[#Headers],[3.0* w2]],3)*1&lt;=5,Office_C_W_M_star_Intercept+Office_C_W_Alpha_Star_Hrs_Coefficient*(tbl_Office_Multi[[Hrs]:[Hrs]]-Office_C_W_Hrs_Offset)-Office_C_W2_Hrs_Ratio*((LEFT(tbl_Office_Multi[[#Headers],[3.0* w2]],3)*1-IF(LEFT(tbl_Office_Multi[[#Headers],[3.0* w2]],3)*1=5,Office_C_W_R_star_rating_offset_at_5_stars,Office_C_W_R_star_rating_offset))/Office_C_W_Median_Rating-1),"N/A")</f>
        <v>0.59177777777777774</v>
      </c>
      <c r="GM5" s="48">
        <f>IF(LEFT(tbl_Office_Multi[[#Headers],[2.5* w2]],3)*1&lt;=5,Office_C_W_M_star_Intercept+Office_C_W_Alpha_Star_Hrs_Coefficient*(tbl_Office_Multi[[Hrs]:[Hrs]]-Office_C_W_Hrs_Offset)-Office_C_W2_Hrs_Ratio*((LEFT(tbl_Office_Multi[[#Headers],[2.5* w2]],3)*1-IF(LEFT(tbl_Office_Multi[[#Headers],[2.5* w2]],3)*1=5,Office_C_W_R_star_rating_offset_at_5_stars,Office_C_W_R_star_rating_offset))/Office_C_W_Median_Rating-1),"N/A")</f>
        <v>0.65622222222222226</v>
      </c>
      <c r="GN5" s="48">
        <f>IF(LEFT(tbl_Office_Multi[[#Headers],[2.0* w2]],3)*1&lt;=5,Office_C_W_M_star_Intercept+Office_C_W_Alpha_Star_Hrs_Coefficient*(tbl_Office_Multi[[Hrs]:[Hrs]]-Office_C_W_Hrs_Offset)-Office_C_W2_Hrs_Ratio*((LEFT(tbl_Office_Multi[[#Headers],[2.0* w2]],3)*1-IF(LEFT(tbl_Office_Multi[[#Headers],[2.0* w2]],3)*1=5,Office_C_W_R_star_rating_offset_at_5_stars,Office_C_W_R_star_rating_offset))/Office_C_W_Median_Rating-1),"N/A")</f>
        <v>0.72066666666666668</v>
      </c>
      <c r="GO5" s="48">
        <f>IF(LEFT(tbl_Office_Multi[[#Headers],[1.5* w2]],3)*1&lt;=5,Office_C_W_M_star_Intercept+Office_C_W_Alpha_Star_Hrs_Coefficient*(tbl_Office_Multi[[Hrs]:[Hrs]]-Office_C_W_Hrs_Offset)-Office_C_W2_Hrs_Ratio*((LEFT(tbl_Office_Multi[[#Headers],[1.5* w2]],3)*1-IF(LEFT(tbl_Office_Multi[[#Headers],[1.5* w2]],3)*1=5,Office_C_W_R_star_rating_offset_at_5_stars,Office_C_W_R_star_rating_offset))/Office_C_W_Median_Rating-1),"N/A")</f>
        <v>0.78511111111111109</v>
      </c>
      <c r="GP5" s="48">
        <f>IF(LEFT(tbl_Office_Multi[[#Headers],[1.0* w2]],3)*1&lt;=5,Office_C_W_M_star_Intercept+Office_C_W_Alpha_Star_Hrs_Coefficient*(tbl_Office_Multi[[Hrs]:[Hrs]]-Office_C_W_Hrs_Offset)-Office_C_W2_Hrs_Ratio*((LEFT(tbl_Office_Multi[[#Headers],[1.0* w2]],3)*1-IF(LEFT(tbl_Office_Multi[[#Headers],[1.0* w2]],3)*1=5,Office_C_W_R_star_rating_offset_at_5_stars,Office_C_W_R_star_rating_offset))/Office_C_W_Median_Rating-1),"N/A")</f>
        <v>0.84955555555555551</v>
      </c>
      <c r="GQ5" s="48">
        <f>IF(LEFT(tbl_Office_Multi[[#Headers],[0.0* w2]],3)*1&lt;=5,Office_C_W_M_star_Intercept+Office_C_W_Alpha_Star_Hrs_Coefficient*(tbl_Office_Multi[[Hrs]:[Hrs]]-Office_C_W_Hrs_Offset)-Office_C_W2_Hrs_Ratio*((LEFT(tbl_Office_Multi[[#Headers],[0.0* w2]],3)*1-IF(LEFT(tbl_Office_Multi[[#Headers],[0.0* w2]],3)*1=5,Office_C_W_R_star_rating_offset_at_5_stars,Office_C_W_R_star_rating_offset))/Office_C_W_Median_Rating-1),"N/A")</f>
        <v>0.97844444444444445</v>
      </c>
      <c r="GR5" s="48">
        <f>IF(LEFT(tbl_Office_Multi[[#Headers],[6.0* Max Water (kL/m²)]],3)*1&lt;=5,IF(tbl_Office_Multi[[#This Row],[6.0* w1]]&gt;=tbl_Office_Multi[[Alpha star]:[Alpha star]],tbl_Office_Multi[[#This Row],[6.0* w1]],tbl_Office_Multi[[#This Row],[6.0* w2]]),
((7-LEFT(tbl_Office_Multi[[#Headers],[6.0* Max Water (kL/m²)]],3)*1)/2)*tbl_Office_Multi[[wat_5stars]:[wat_5stars]])</f>
        <v>0.16700000000000001</v>
      </c>
      <c r="GS5" s="48">
        <f>IF(LEFT(tbl_Office_Multi[[#Headers],[5.5* Max Water (kL/m²)]],3)*1&lt;=5,IF(tbl_Office_Multi[[#This Row],[5.5* w1]]&gt;=tbl_Office_Multi[[Alpha star]:[Alpha star]],tbl_Office_Multi[[#This Row],[5.5* w1]],tbl_Office_Multi[[#This Row],[5.5* w2]]),
((7-LEFT(tbl_Office_Multi[[#Headers],[5.5* Max Water (kL/m²)]],3)*1)/2)*tbl_Office_Multi[[wat_5stars]:[wat_5stars]])</f>
        <v>0.2505</v>
      </c>
      <c r="GT5" s="48">
        <f>IF(LEFT(tbl_Office_Multi[[#Headers],[5.0* Max Water (kL/m²)]],3)*1&lt;=5,IF(tbl_Office_Multi[[#This Row],[5.0* w1]]&gt;=tbl_Office_Multi[[Alpha star]:[Alpha star]],tbl_Office_Multi[[#This Row],[5.0* w1]],tbl_Office_Multi[[#This Row],[5.0* w2]]),
((7-LEFT(tbl_Office_Multi[[#Headers],[5.0* Max Water (kL/m²)]],3)*1)/2)*tbl_Office_Multi[[wat_5stars]:[wat_5stars]])</f>
        <v>0.33399871111111112</v>
      </c>
      <c r="GU5" s="48">
        <f>IF(LEFT(tbl_Office_Multi[[#Headers],[4.5* Max Water (kL/m²)]],3)*1&lt;=5,IF(tbl_Office_Multi[[#This Row],[4.5* w1]]&gt;=tbl_Office_Multi[[Alpha star]:[Alpha star]],tbl_Office_Multi[[#This Row],[4.5* w1]],tbl_Office_Multi[[#This Row],[4.5* w2]]),
((7-LEFT(tbl_Office_Multi[[#Headers],[4.5* Max Water (kL/m²)]],3)*1)/2)*tbl_Office_Multi[[wat_5stars]:[wat_5stars]])</f>
        <v>0.41364444444444443</v>
      </c>
      <c r="GV5" s="48">
        <f>IF(LEFT(tbl_Office_Multi[[#Headers],[4.0* Max Water (kL/m²)]],3)*1&lt;=5,IF(tbl_Office_Multi[[#This Row],[4.0* w1]]&gt;=tbl_Office_Multi[[Alpha star]:[Alpha star]],tbl_Office_Multi[[#This Row],[4.0* w1]],tbl_Office_Multi[[#This Row],[4.0* w2]]),
((7-LEFT(tbl_Office_Multi[[#Headers],[4.0* Max Water (kL/m²)]],3)*1)/2)*tbl_Office_Multi[[wat_5stars]:[wat_5stars]])</f>
        <v>0.49328888888888878</v>
      </c>
      <c r="GW5" s="48">
        <f>IF(LEFT(tbl_Office_Multi[[#Headers],[3.5* Max Water (kL/m²)]],3)*1&lt;=5,IF(tbl_Office_Multi[[#This Row],[3.5* w1]]&gt;=tbl_Office_Multi[[Alpha star]:[Alpha star]],tbl_Office_Multi[[#This Row],[3.5* w1]],tbl_Office_Multi[[#This Row],[3.5* w2]]),
((7-LEFT(tbl_Office_Multi[[#Headers],[3.5* Max Water (kL/m²)]],3)*1)/2)*tbl_Office_Multi[[wat_5stars]:[wat_5stars]])</f>
        <v>0.57293333333333329</v>
      </c>
      <c r="GX5" s="48">
        <f>IF(LEFT(tbl_Office_Multi[[#Headers],[3.0* Max Water (kL/m²)]],3)*1&lt;=5,IF(tbl_Office_Multi[[#This Row],[3.0* w1]]&gt;=tbl_Office_Multi[[Alpha star]:[Alpha star]],tbl_Office_Multi[[#This Row],[3.0* w1]],tbl_Office_Multi[[#This Row],[3.0* w2]]),
((7-LEFT(tbl_Office_Multi[[#Headers],[3.0* Max Water (kL/m²)]],3)*1)/2)*tbl_Office_Multi[[wat_5stars]:[wat_5stars]])</f>
        <v>0.6525777777777777</v>
      </c>
      <c r="GY5" s="48">
        <f>IF(LEFT(tbl_Office_Multi[[#Headers],[2.5* Max Water (kL/m²)]],3)*1&lt;=5,IF(tbl_Office_Multi[[#This Row],[2.5* w1]]&gt;=tbl_Office_Multi[[Alpha star]:[Alpha star]],tbl_Office_Multi[[#This Row],[2.5* w1]],tbl_Office_Multi[[#This Row],[2.5* w2]]),
((7-LEFT(tbl_Office_Multi[[#Headers],[2.5* Max Water (kL/m²)]],3)*1)/2)*tbl_Office_Multi[[wat_5stars]:[wat_5stars]])</f>
        <v>0.73222222222222211</v>
      </c>
      <c r="GZ5" s="48">
        <f>IF(LEFT(tbl_Office_Multi[[#Headers],[2.0* Max Water (kL/m²)]],3)*1&lt;=5,IF(tbl_Office_Multi[[#This Row],[2.0* w1]]&gt;=tbl_Office_Multi[[Alpha star]:[Alpha star]],tbl_Office_Multi[[#This Row],[2.0* w1]],tbl_Office_Multi[[#This Row],[2.0* w2]]),
((7-LEFT(tbl_Office_Multi[[#Headers],[2.0* Max Water (kL/m²)]],3)*1)/2)*tbl_Office_Multi[[wat_5stars]:[wat_5stars]])</f>
        <v>0.81186666666666651</v>
      </c>
      <c r="HA5" s="48">
        <f>IF(LEFT(tbl_Office_Multi[[#Headers],[1.5* Max Water (kL/m²)]],3)*1&lt;=5,IF(tbl_Office_Multi[[#This Row],[1.5* w1]]&gt;=tbl_Office_Multi[[Alpha star]:[Alpha star]],tbl_Office_Multi[[#This Row],[1.5* w1]],tbl_Office_Multi[[#This Row],[1.5* w2]]),
((7-LEFT(tbl_Office_Multi[[#Headers],[1.5* Max Water (kL/m²)]],3)*1)/2)*tbl_Office_Multi[[wat_5stars]:[wat_5stars]])</f>
        <v>0.89151111111111103</v>
      </c>
      <c r="HB5" s="48">
        <f>IF(LEFT(tbl_Office_Multi[[#Headers],[1.0* Max Water (kL/m²)]],3)*1&lt;=5,IF(tbl_Office_Multi[[#This Row],[1.0* w1]]&gt;=tbl_Office_Multi[[Alpha star]:[Alpha star]],tbl_Office_Multi[[#This Row],[1.0* w1]],tbl_Office_Multi[[#This Row],[1.0* w2]]),
((7-LEFT(tbl_Office_Multi[[#Headers],[1.0* Max Water (kL/m²)]],3)*1)/2)*tbl_Office_Multi[[wat_5stars]:[wat_5stars]])</f>
        <v>0.97115555555555544</v>
      </c>
      <c r="HC5" s="48">
        <f>IF(LEFT(tbl_Office_Multi[[#Headers],[0.0* Max Water (kL/m²)]],3)*1&lt;=5,IF(tbl_Office_Multi[[#This Row],[0.0* w1]]&gt;=tbl_Office_Multi[[Alpha star]:[Alpha star]],tbl_Office_Multi[[#This Row],[0.0* w1]],tbl_Office_Multi[[#This Row],[0.0* w2]]),
((7-LEFT(tbl_Office_Multi[[#Headers],[0.0* Max Water (kL/m²)]],3)*1)/2)*tbl_Office_Multi[[wat_5stars]:[wat_5stars]])</f>
        <v>1.1304444444444444</v>
      </c>
      <c r="HD5" s="44">
        <f>ROUNDDOWN(tbl_Office_Multi[[#This Row],[6.0* Max Water (kL/m²)]]*tbl_Office_Multi[[NLA]:[NLA]],0)</f>
        <v>226</v>
      </c>
      <c r="HE5" s="44">
        <f>ROUNDDOWN(tbl_Office_Multi[[#This Row],[5.5* Max Water (kL/m²)]]*tbl_Office_Multi[[NLA]:[NLA]],0)</f>
        <v>339</v>
      </c>
      <c r="HF5" s="44">
        <f>ROUNDDOWN(tbl_Office_Multi[[#This Row],[5.0* Max Water (kL/m²)]]*tbl_Office_Multi[[NLA]:[NLA]],0)</f>
        <v>453</v>
      </c>
      <c r="HG5" s="44">
        <f>ROUNDDOWN(tbl_Office_Multi[[#This Row],[4.5* Max Water (kL/m²)]]*tbl_Office_Multi[[NLA]:[NLA]],0)</f>
        <v>561</v>
      </c>
      <c r="HH5" s="44">
        <f>ROUNDDOWN(tbl_Office_Multi[[#This Row],[4.0* Max Water (kL/m²)]]*tbl_Office_Multi[[NLA]:[NLA]],0)</f>
        <v>669</v>
      </c>
      <c r="HI5" s="44">
        <f>ROUNDDOWN(tbl_Office_Multi[[#This Row],[3.5* Max Water (kL/m²)]]*tbl_Office_Multi[[NLA]:[NLA]],0)</f>
        <v>777</v>
      </c>
      <c r="HJ5" s="44">
        <f>ROUNDDOWN(tbl_Office_Multi[[#This Row],[3.0* Max Water (kL/m²)]]*tbl_Office_Multi[[NLA]:[NLA]],0)</f>
        <v>885</v>
      </c>
      <c r="HK5" s="44">
        <f>ROUNDDOWN(tbl_Office_Multi[[#This Row],[2.5* Max Water (kL/m²)]]*tbl_Office_Multi[[NLA]:[NLA]],0)</f>
        <v>993</v>
      </c>
      <c r="HL5" s="44">
        <f>ROUNDDOWN(tbl_Office_Multi[[#This Row],[2.0* Max Water (kL/m²)]]*tbl_Office_Multi[[NLA]:[NLA]],0)</f>
        <v>1101</v>
      </c>
      <c r="HM5" s="44">
        <f>ROUNDDOWN(tbl_Office_Multi[[#This Row],[1.5* Max Water (kL/m²)]]*tbl_Office_Multi[[NLA]:[NLA]],0)</f>
        <v>1209</v>
      </c>
      <c r="HN5" s="44">
        <f>ROUNDDOWN(tbl_Office_Multi[[#This Row],[1.0* Max Water (kL/m²)]]*tbl_Office_Multi[[NLA]:[NLA]],0)</f>
        <v>1317</v>
      </c>
      <c r="HO5" s="44">
        <f>ROUNDDOWN(tbl_Office_Multi[[#This Row],[0.0* Max Water (kL/m²)]]*tbl_Office_Multi[[NLA]:[NLA]],0)</f>
        <v>1533</v>
      </c>
      <c r="HP5" s="44">
        <f>SUM(tbl_Office_Multi[[#This Row],[Electricity]]*(1-tbl_Office_Multi[[#This Row],[GP]])*tbl_Office_Multi[[#This Row],[SGEe Scopes 1,2&amp;3]],
tbl_Office_Multi[[#This Row],[Gas]]*tbl_Office_Multi[[#This Row],[SGEg Scopes 1,2&amp;3]],
tbl_Office_Multi[[#This Row],[Diesel]]*tbl_Office_Multi[[#This Row],[SGEd Scopes 1,2&amp;3]])</f>
        <v>939349.11682999996</v>
      </c>
      <c r="HQ5" s="44">
        <f>SUM(tbl_Office_Multi[[#This Row],[Electricity]]*(1-tbl_Office_Multi[[#This Row],[GP]])*tbl_Office_Multi[[#This Row],[SGEe Scopes 1&amp;2]],
tbl_Office_Multi[[#This Row],[Gas]]*tbl_Office_Multi[[#This Row],[SGEg Scopes 1&amp;2]],
tbl_Office_Multi[[#This Row],[Diesel]]*tbl_Office_Multi[[#This Row],[SGEd Scopes 1&amp;2]])</f>
        <v>841863.08125000005</v>
      </c>
      <c r="HR5" s="45">
        <f>MIN(ROUNDUP(tbl_Office_Multi[[#This Row],[Renergy (with GP)]]*2,0)/2,6)</f>
        <v>-22</v>
      </c>
      <c r="HS5" s="45">
        <f>tbl_Office_Multi[[#This Row],[Renergy (with GP)]]+Office_C_FWD_Star_Band_Residual_Adjustment</f>
        <v>-21.353202576248183</v>
      </c>
      <c r="HT5" s="45">
        <f>IF(tbl_Office_Multi[[#This Row],[Energy Star Decimal (with GP)]]&gt;5,"N/A",tbl_Office_Multi[[#This Row],[NGE (with GP)]])</f>
        <v>754.69201095966775</v>
      </c>
      <c r="HU5" s="45">
        <f>MIN(ROUNDUP(tbl_Office_Multi[[#This Row],[REnergy (no GP)]]*2,0)/2,6)</f>
        <v>-22</v>
      </c>
      <c r="HV5" s="45">
        <f>tbl_Office_Multi[[#This Row],[REnergy (no GP)]]+Office_C_FWD_Star_Band_Residual_Adjustment</f>
        <v>-21.353202576248183</v>
      </c>
      <c r="HW5" s="45">
        <f>IF(tbl_Office_Multi[[#This Row],[Energy Star Decimal (no GP)]]&gt;5,"N/A",tbl_Office_Multi[[#This Row],[NGE (no GP)]])</f>
        <v>754.69201095966775</v>
      </c>
      <c r="HX5" s="45">
        <f>IF(tbl_Office_Multi[[#This Row],[A]]+tbl_Office_Multi[[#This Row],[B]]*tbl_Office_Multi[[#This Row],[NGE (with GP)]]&gt;5,tbl_Office_Multi[[#This Row],[AEnergybeyond5stars]]+tbl_Office_Multi[[#This Row],[BEnergybeyond5stars gasMJ]]*tbl_Office_Multi[[#This Row],[GE (with GP)]],tbl_Office_Multi[[#This Row],[A]]+tbl_Office_Multi[[#This Row],[B]]*tbl_Office_Multi[[#This Row],[NGE (with GP)]])</f>
        <v>-21.853202576248183</v>
      </c>
      <c r="HY5" s="45">
        <f>IF(tbl_Office_Multi[[#This Row],[A]]+tbl_Office_Multi[[#This Row],[B]]*tbl_Office_Multi[[#This Row],[NGE (no GP)]]&gt;5,tbl_Office_Multi[[#This Row],[AEnergybeyond5stars]]+tbl_Office_Multi[[#This Row],[BEnergybeyond5stars gasMJ]]*tbl_Office_Multi[[#This Row],[GE (no GP)]],tbl_Office_Multi[[#This Row],[A]]+tbl_Office_Multi[[#This Row],[B]]*tbl_Office_Multi[[#This Row],[NGE (no GP)]])</f>
        <v>-21.853202576248183</v>
      </c>
      <c r="HZ5" s="45">
        <f>SUM(tbl_Office_Multi[[#This Row],[Electricity]]*(1-tbl_Office_Multi[[#This Row],[GP]])*tbl_Office_Multi[[#This Row],[SGEe]],
tbl_Office_Multi[[#This Row],[Gas]]*tbl_Office_Multi[[#This Row],[SGEg]],
tbl_Office_Multi[[#This Row],[Diesel]]*tbl_Office_Multi[[#This Row],[SGEd]])
/tbl_Office_Multi[[#This Row],[NLA]]</f>
        <v>717.7008379994104</v>
      </c>
      <c r="IA5" s="45">
        <f>SUM(tbl_Office_Multi[[#This Row],[Electricity]]*tbl_Office_Multi[[#This Row],[SGEe]],
tbl_Office_Multi[[#This Row],[Gas]]*tbl_Office_Multi[[#This Row],[SGEg]],
tbl_Office_Multi[[#This Row],[Diesel]]*tbl_Office_Multi[[#This Row],[SGEd]])
/tbl_Office_Multi[[#This Row],[NLA]]</f>
        <v>717.7008379994104</v>
      </c>
      <c r="IB5" s="45">
        <f>IF(tbl_Office_Multi[[#This Row],[Rating Type]]="Base Building",tbl_Office_Multi[[#This Row],[f_basebuilding]]*(tbl_Office_Multi[[#This Row],[GE (with GP)]]+tbl_Office_Multi[[#This Row],[GEcorrclimate]]),
IF(tbl_Office_Multi[[#This Row],[Rating Type]]="Tenancy",tbl_Office_Multi[[#This Row],[f_tenancy]]*(tbl_Office_Multi[[#This Row],[GE (with GP)]]+tbl_Office_Multi[[#This Row],[GEcorrtenancy]]),
IF(tbl_Office_Multi[[#This Row],[Rating Type]]="Whole Building",tbl_Office_Multi[[#This Row],[GE (with GP)]]*((tbl_Office_Multi[[#This Row],[f_basebuilding]]+tbl_Office_Multi[[#This Row],[f_tenancy]])/2)+tbl_Office_Multi[[#This Row],[f_tenancy]]*tbl_Office_Multi[[#This Row],[GEcorrtenancy]]+tbl_Office_Multi[[#This Row],[f_basebuilding]]*tbl_Office_Multi[[#This Row],[GEcorrclimate]],
0)))</f>
        <v>754.69201095966775</v>
      </c>
      <c r="IC5" s="45">
        <f>IF(tbl_Office_Multi[[#This Row],[Rating Type]]="Base Building",tbl_Office_Multi[[#This Row],[f_basebuilding]]*(tbl_Office_Multi[[#This Row],[GE (no GP)]]+tbl_Office_Multi[[#This Row],[GEcorrclimate]]),
IF(tbl_Office_Multi[[#This Row],[Rating Type]]="Tenancy",tbl_Office_Multi[[#This Row],[f_tenancy]]*(tbl_Office_Multi[[#This Row],[GE (no GP)]]+tbl_Office_Multi[[#This Row],[GEcorrtenancy]]),
IF(tbl_Office_Multi[[#This Row],[Rating Type]]="Whole Building",tbl_Office_Multi[[#This Row],[GE (no GP)]]*((tbl_Office_Multi[[#This Row],[f_basebuilding]]+tbl_Office_Multi[[#This Row],[f_tenancy]])/2)+tbl_Office_Multi[[#This Row],[f_tenancy]]*tbl_Office_Multi[[#This Row],[GEcorrtenancy]]+tbl_Office_Multi[[#This Row],[f_basebuilding]]*tbl_Office_Multi[[#This Row],[GEcorrclimate]],
0)))</f>
        <v>754.69201095966775</v>
      </c>
      <c r="ID5" s="45">
        <f>MIN(ROUNDUP(tbl_Office_Multi[[#This Row],[Rwater (with recyc)]]*2,0)/2,6)</f>
        <v>-15.5</v>
      </c>
      <c r="IE5" s="45">
        <f>tbl_Office_Multi[[#This Row],[Rwater (with recyc)]]+Office_C_FWD_Star_Band_Residual_Adjustment</f>
        <v>-14.546809472144123</v>
      </c>
      <c r="IF5" s="45">
        <f>MIN(ROUNDUP(tbl_Office_Multi[[#This Row],[Rwater (no recyc)]]*2,0)/2,6)</f>
        <v>-29.5</v>
      </c>
      <c r="IG5" s="45">
        <f>tbl_Office_Multi[[#This Row],[Rwater (no recyc)]]+Office_C_FWD_Star_Band_Residual_Adjustment</f>
        <v>-28.975895251192586</v>
      </c>
      <c r="IH5" s="45">
        <f>tbl_Office_Multi[[#This Row],[Water]]*(1-tbl_Office_Multi[[#This Row],[RW]])/tbl_Office_Multi[[#This Row],[NLA]]</f>
        <v>3.4475895621406458</v>
      </c>
      <c r="II5" s="45">
        <f>tbl_Office_Multi[[#This Row],[Water]]/tbl_Office_Multi[[#This Row],[NLA]]</f>
        <v>5.745982603567743</v>
      </c>
      <c r="IJ5" s="45">
        <f>IF(tbl_Office_Multi[[#This Row],[Rwater0to5 (with recyc)]]&gt;5,tbl_Office_Multi[[#This Row],[AWaterbeyond5stars]]+tbl_Office_Multi[[#This Row],[BWaterbeyond5stars]]*tbl_Office_Multi[[#This Row],[w (with recyc)]],tbl_Office_Multi[[#This Row],[Rwater0to5 (with recyc)]])</f>
        <v>-15.046809472144123</v>
      </c>
      <c r="IK5" s="45">
        <f>IF(tbl_Office_Multi[[#This Row],[Rwater0to5 (no recyc)]]&gt;5,tbl_Office_Multi[[#This Row],[AWaterbeyond5stars]]+tbl_Office_Multi[[#This Row],[BWaterbeyond5stars]]*tbl_Office_Multi[[#This Row],[w (no recyc)]],tbl_Office_Multi[[#This Row],[Rwater0to5 (no recyc)]])</f>
        <v>-29.475895251192586</v>
      </c>
      <c r="IL5" s="45">
        <f>IF(tbl_Office_Multi[[#This Row],[w (with recyc)]]&gt;=tbl_Office_Multi[[#This Row],[Alpha star]],2.25*((tbl_Office_Multi[[#This Row],[M star]]-tbl_Office_Multi[[#This Row],[w (with recyc)]])/(tbl_Office_Multi[[#This Row],[M star]]-tbl_Office_Multi[[#This Row],[Alpha star]])+1),2.25*((0.64+0.0016*(tbl_Office_Multi[[#This Row],[Hrs]]-55)-tbl_Office_Multi[[#This Row],[w (with recyc)]])/0.29+1))</f>
        <v>-15.046809472144123</v>
      </c>
      <c r="IM5" s="45">
        <f>IF(tbl_Office_Multi[[#This Row],[w (no recyc)]]&gt;=tbl_Office_Multi[[#This Row],[Alpha star]],2.25*((tbl_Office_Multi[[#This Row],[M star]]-tbl_Office_Multi[[#This Row],[w (no recyc)]])/(tbl_Office_Multi[[#This Row],[M star]]-tbl_Office_Multi[[#This Row],[Alpha star]])+1),2.25*((0.64+0.0016*(tbl_Office_Multi[[#This Row],[Hrs]]-55)-tbl_Office_Multi[[#This Row],[w (no recyc)]])/0.29+1))</f>
        <v>-29.475895251192586</v>
      </c>
    </row>
    <row r="6" spans="1:247" ht="16.5" customHeight="1">
      <c r="A6" s="484">
        <v>1.4</v>
      </c>
      <c r="B6" s="484">
        <v>4.8</v>
      </c>
      <c r="C6" s="485" t="s">
        <v>455</v>
      </c>
      <c r="D6" s="485">
        <v>2000</v>
      </c>
      <c r="E6" s="485">
        <v>80.2</v>
      </c>
      <c r="F6" s="488">
        <v>21475.1</v>
      </c>
      <c r="G6" s="486">
        <v>0</v>
      </c>
      <c r="H6" s="487">
        <v>0.54</v>
      </c>
      <c r="I6" s="487">
        <v>0.43</v>
      </c>
      <c r="J6" s="487">
        <v>0.03</v>
      </c>
      <c r="K6" s="126">
        <f>IF(tbl_Office_Multi[[#This Row],[Target Energy]]&gt;5,"N/A",tbl_Office_Multi[[#This Row],[Target Max Energy NGE]])</f>
        <v>179.9509503372164</v>
      </c>
      <c r="L6" s="126">
        <f>tbl_Office_Multi[[#This Row],[Target Max GE]]</f>
        <v>256.27422667476577</v>
      </c>
      <c r="M6" s="42">
        <f>tbl_Office_Multi[[#This Row],[Target Max CO2]]</f>
        <v>5503514.6452632621</v>
      </c>
      <c r="N6" s="42">
        <f>tbl_Office_Multi[[#This Row],[Target Max GE]]</f>
        <v>256.27422667476577</v>
      </c>
      <c r="O6" s="378">
        <f>tbl_Office_Multi[[#This Row],[Target Max Energy Intensity]]</f>
        <v>1553.1310080777344</v>
      </c>
      <c r="P6" s="42">
        <f>tbl_Office_Multi[[#This Row],[Target Scopes 1,2&amp;3]]</f>
        <v>5303390.7685399996</v>
      </c>
      <c r="Q6" s="42">
        <f>tbl_Office_Multi[[#This Row],[Target Scopes 1&amp;2]]</f>
        <v>4761694.3628200004</v>
      </c>
      <c r="R6" s="42">
        <f>tbl_Office_Multi[[#This Row],[Target Max Elec (kWh)]]</f>
        <v>5003046</v>
      </c>
      <c r="S6" s="42">
        <f>tbl_Office_Multi[[#This Row],[Target Max Gas (MJ)]]</f>
        <v>14342066</v>
      </c>
      <c r="T6" s="42">
        <f>tbl_Office_Multi[[#This Row],[Target Max Diesel (L)]]</f>
        <v>25922</v>
      </c>
      <c r="U6" s="42">
        <f>tbl_Office_Multi[[#This Row],[Max Water]]</f>
        <v>9982</v>
      </c>
      <c r="V6" s="126">
        <f>tbl_Office_Multi[[#This Row],[max w]]</f>
        <v>0.46483105777777789</v>
      </c>
      <c r="W6" s="285">
        <v>416979</v>
      </c>
      <c r="X6" s="285">
        <v>1351012</v>
      </c>
      <c r="Y6" s="285">
        <v>3888</v>
      </c>
      <c r="Z6" s="43">
        <v>0</v>
      </c>
      <c r="AA6" s="285">
        <v>7795</v>
      </c>
      <c r="AB6" s="43">
        <v>0.4</v>
      </c>
      <c r="AC6" s="45" t="str">
        <f>INDEX(tbl_Climate_Lookup[],MATCH(tbl_Office_Multi[[Postcode]:[Postcode]],tbl_Climate_Lookup[[Postcode]:[Postcode]],0),MATCH(tbl_Office_Multi[[#Headers],[State]],tbl_Climate_Lookup[#Headers],0))</f>
        <v>NSW</v>
      </c>
      <c r="AD6" s="45">
        <f>INDEX(tbl_Climate_Lookup[],MATCH(tbl_Office_Multi[[Postcode]:[Postcode]],tbl_Climate_Lookup[[Postcode]:[Postcode]],0),MATCH(tbl_Office_Multi[[#Headers],[Climate zone]],tbl_Climate_Lookup[#Headers],0))</f>
        <v>63</v>
      </c>
      <c r="AE6" s="169">
        <f>INDEX(tbl_Climate_Lookup[],MATCH(tbl_Office_Multi[[Postcode]:[Postcode]],tbl_Climate_Lookup[[Postcode]:[Postcode]],0),MATCH(tbl_Office_Multi[[#Headers],[HDD]],tbl_Climate_Lookup[#Headers],0))</f>
        <v>642</v>
      </c>
      <c r="AF6" s="169">
        <f>INDEX(tbl_Climate_Lookup[],MATCH(tbl_Office_Multi[[Postcode]:[Postcode]],tbl_Climate_Lookup[[Postcode]:[Postcode]],0),MATCH(tbl_Office_Multi[[#Headers],[CDD]],tbl_Climate_Lookup[#Headers],0))</f>
        <v>541</v>
      </c>
      <c r="AG6" s="45">
        <f>INDEX(tbl_SGE_Office_2020[],MATCH(tbl_Office_Multi[[State]:[State]],tbl_SGE_Office_2020[[State]:[State]],0),MATCH(tbl_Office_Multi[[#Headers],[SGEekWh]],tbl_SGE_Office_2020[#Headers],0))</f>
        <v>0.9</v>
      </c>
      <c r="AH6" s="45">
        <f>INDEX(tbl_SGE_Office_2020[],MATCH(tbl_Office_Multi[[State]:[State]],tbl_SGE_Office_2020[[State]:[State]],0),MATCH(tbl_Office_Multi[[#Headers],[SGEgkWh]],tbl_SGE_Office_2020[#Headers],0))</f>
        <v>0.23266800000000001</v>
      </c>
      <c r="AI6" s="45">
        <f>INDEX(tbl_SGE_Office_2020[],MATCH(tbl_Office_Multi[[State]:[State]],tbl_SGE_Office_2020[[State]:[State]],0),MATCH(tbl_Office_Multi[[#Headers],[SGEdkWh]],tbl_SGE_Office_2020[#Headers],0))</f>
        <v>0.26567999999999997</v>
      </c>
      <c r="AJ6" s="45">
        <f>tbl_Office_Multi[[#This Row],[SGEekWh]]</f>
        <v>0.9</v>
      </c>
      <c r="AK6" s="45">
        <f>tbl_Office_Multi[[#This Row],[SGEgkWh]]/tbl_Office_Multi[[#This Row],[CFelec]]</f>
        <v>6.4630000000000007E-2</v>
      </c>
      <c r="AL6" s="45">
        <f>tbl_Office_Multi[[#This Row],[SGEdkWh]]/tbl_Office_Multi[[#This Row],[CFelec]]*tbl_Office_Multi[[#This Row],[CFdiesel]]</f>
        <v>2.8486799999999999</v>
      </c>
      <c r="AM6" s="50">
        <f>INDEX(tbl_Conversion_Factors[[Conversion Factors]:[Conversion Factors]],MATCH(tbl_Office_Multi[[#Headers],[CFelec]],tbl_Conversion_Factors[[Reference]:[Reference]],0))</f>
        <v>3.6</v>
      </c>
      <c r="AN6" s="50">
        <f>INDEX(tbl_Conversion_Factors[[Conversion Factors]:[Conversion Factors]],MATCH(tbl_Office_Multi[[#Headers],[CFdiesel]],tbl_Conversion_Factors[[Reference]:[Reference]],0))</f>
        <v>38.6</v>
      </c>
      <c r="AO6" s="45">
        <f>tbl_Office_Multi[[#This Row],[SGEe]]/tbl_Office_Multi[[#This Row],[CFelec]]</f>
        <v>0.25</v>
      </c>
      <c r="AP6" s="45">
        <f>tbl_Office_Multi[[#This Row],[SGEd]]/tbl_Office_Multi[[#This Row],[CFdiesel]]</f>
        <v>7.3799999999999991E-2</v>
      </c>
      <c r="AQ6" s="46">
        <f>IF(SUM(tbl_Office_Multi[[#This Row],[Electricity (%)]:[Diesel (%)]])=1,
SUM(tbl_Office_Multi[[#This Row],[Electricity (%)]]*tbl_Office_Multi[[#This Row],[SGEeMJ]],
tbl_Office_Multi[[#This Row],[Gas (%)]]*tbl_Office_Multi[[#This Row],[SGEg]],
tbl_Office_Multi[[#This Row],[Diesel (%)]]*tbl_Office_Multi[[#This Row],[SGEdMJ]]),
0)</f>
        <v>0.16500490000000001</v>
      </c>
      <c r="AR6" s="46">
        <f>INDEX(tbl_NGA_Factors_2021[],MATCH(tbl_Office_Multi[[State]:[State]],tbl_NGA_Factors_2021[[State]:[State]],0),MATCH(tbl_Office_Multi[[#Headers],[SGEe Scopes 1,2&amp;3]],tbl_NGA_Factors_2021[#Headers],0))</f>
        <v>0.86</v>
      </c>
      <c r="AS6" s="46">
        <f>INDEX(tbl_NGA_Factors_2021[],MATCH(tbl_Office_Multi[[State]:[State]],tbl_NGA_Factors_2021[[State]:[State]],0),MATCH(tbl_Office_Multi[[#Headers],[SGEg Scopes 1,2&amp;3]],tbl_NGA_Factors_2021[#Headers],0))</f>
        <v>6.4630000000000007E-2</v>
      </c>
      <c r="AT6" s="46">
        <f>INDEX(tbl_NGA_Factors_2021[],MATCH(tbl_Office_Multi[[State]:[State]],tbl_NGA_Factors_2021[[State]:[State]],0),MATCH(tbl_Office_Multi[[#Headers],[SGEd Scopes 1,2&amp;3]],tbl_NGA_Factors_2021[#Headers],0))</f>
        <v>2.8486799999999999</v>
      </c>
      <c r="AU6" s="46">
        <f>INDEX(tbl_NGA_Factors_2021[],MATCH(tbl_Office_Multi[[State]:[State]],tbl_NGA_Factors_2021[[State]:[State]],0),MATCH(tbl_Office_Multi[[#Headers],[SGEe Scopes 1&amp;2]],tbl_NGA_Factors_2021[#Headers],0))</f>
        <v>0.79</v>
      </c>
      <c r="AV6" s="46">
        <f>INDEX(tbl_NGA_Factors_2021[],MATCH(tbl_Office_Multi[[State]:[State]],tbl_NGA_Factors_2021[[State]:[State]],0),MATCH(tbl_Office_Multi[[#Headers],[SGEg Scopes 1&amp;2]],tbl_NGA_Factors_2021[#Headers],0))</f>
        <v>5.1529999999999999E-2</v>
      </c>
      <c r="AW6" s="46">
        <f>INDEX(tbl_NGA_Factors_2021[],MATCH(tbl_Office_Multi[[State]:[State]],tbl_NGA_Factors_2021[[State]:[State]],0),MATCH(tbl_Office_Multi[[#Headers],[SGEd Scopes 1&amp;2]],tbl_NGA_Factors_2021[#Headers],0))</f>
        <v>2.7097199999999999</v>
      </c>
      <c r="AX6" s="45">
        <f>MIN(tbl_Office_Multi[[#This Row],[Hrs]]+10,168)</f>
        <v>90.2</v>
      </c>
      <c r="AY6" s="45">
        <f>1/(0.38+0.0116*tbl_Office_Multi[[#This Row],[h]])</f>
        <v>0.70110494138762691</v>
      </c>
      <c r="AZ6" s="45">
        <f>1/(0.38+0.0105*tbl_Office_Multi[[#This Row],[h]])</f>
        <v>0.75352271870996901</v>
      </c>
      <c r="BA6" s="45">
        <f>0.2*tbl_Office_Multi[[#This Row],[Comp]]/tbl_Office_Multi[[#This Row],[NLA]]</f>
        <v>0</v>
      </c>
      <c r="BB6" s="45">
        <f>(5-tbl_Office_Multi[[#This Row],[A]]-0.499999)/tbl_Office_Multi[[#This Row],[B]]</f>
        <v>69.58917841814835</v>
      </c>
      <c r="BC6" s="45">
        <f>IF(tbl_Office_Multi[[#This Row],[Rating Type]]="Base Building",tbl_Office_Multi[[#This Row],[NGEat_5_stars]]/tbl_Office_Multi[[#This Row],[f_basebuilding]]-tbl_Office_Multi[[#This Row],[GEcorrclimate]],
IF(tbl_Office_Multi[[#This Row],[Rating Type]]="Tenancy",tbl_Office_Multi[[#This Row],[NGEat_5_stars]]/tbl_Office_Multi[[#This Row],[f_tenancy]]-tbl_Office_Multi[[#This Row],[GEcorrtenancy]],
IF(tbl_Office_Multi[[#This Row],[Rating Type]]="Whole Building",(tbl_Office_Multi[[#This Row],[NGEat_5_stars]]-tbl_Office_Multi[[#This Row],[f_tenancy]]*tbl_Office_Multi[[#This Row],[GEcorrtenancy]]-tbl_Office_Multi[[#This Row],[f_basebuilding]]*tbl_Office_Multi[[#This Row],[GEcorrclimate]])/((tbl_Office_Multi[[#This Row],[f_basebuilding]]+tbl_Office_Multi[[#This Row],[f_tenancy]])/2),0)))</f>
        <v>98.863024151160587</v>
      </c>
      <c r="BD6" s="45">
        <f>4000*tbl_Office_Multi[[#This Row],[SGEe]]*(0.008-tbl_Office_Multi[[#This Row],[Dequip]])</f>
        <v>28.8</v>
      </c>
      <c r="BE6" s="45">
        <f>SUM(tbl_Office_Multi[[#This Row],[4.12*SGEgas]],
tbl_Office_Multi[[#This Row],[43.6*SGEelec]],
tbl_Office_Multi[[#This Row],[-0.0016*SGEgas*HDD/0.23]],
tbl_Office_Multi[[#This Row],[-0.091*SGEelec*CDD/0.94]],
tbl_Office_Multi[[#This Row],[max(0,0.062*SGEelec*(CDD-400)/0.94)]])</f>
        <v>0.39341281021276231</v>
      </c>
      <c r="BF6" s="45">
        <f>4.12*IF(tbl_Office_Multi[[#This Row],[State]]="TAS",0.75/tbl_Office_Multi[[#This Row],[CFelec]],tbl_Office_Multi[[#This Row],[SGEg]])*3.6</f>
        <v>0.95859216000000025</v>
      </c>
      <c r="BG6" s="45">
        <f>43.6*tbl_Office_Multi[[#This Row],[SGEe]]</f>
        <v>39.24</v>
      </c>
      <c r="BH6" s="45">
        <f>-0.0016*IF(tbl_Office_Multi[[#This Row],[State]]="TAS",0.75/tbl_Office_Multi[[#This Row],[CFelec]],tbl_Office_Multi[[#This Row],[SGEg]])*tbl_Office_Multi[[#This Row],[CFelec]]*tbl_Office_Multi[[#This Row],[HDD]]/0.23</f>
        <v>-1.03911552</v>
      </c>
      <c r="BI6" s="45">
        <f>-0.091*tbl_Office_Multi[[#This Row],[SGEe]]*tbl_Office_Multi[[#This Row],[CDD]]/0.94</f>
        <v>-47.13606382978724</v>
      </c>
      <c r="BJ6" s="45">
        <f>MAX(0,0.062*tbl_Office_Multi[[#This Row],[SGEe]]*(tbl_Office_Multi[[#This Row],[CDD]]-400)/0.94)</f>
        <v>8.370000000000001</v>
      </c>
      <c r="BK6" s="45">
        <f>INDEX(tbl_Office_Coefficients[],MATCH(tbl_Office_Multi[[#This Row],[State]],tbl_Office_Coefficients[[State]:[State]],0),MATCH(tbl_Office_Multi[[#This Row],[Rating Type]]&amp;" "&amp;tbl_Office_Multi[[#Headers],[A]],tbl_Office_Coefficients[#Headers],0))</f>
        <v>6.77</v>
      </c>
      <c r="BL6" s="45">
        <f>INDEX(tbl_Office_Coefficients[],MATCH(tbl_Office_Multi[[#This Row],[State]],tbl_Office_Coefficients[[State]:[State]],0),MATCH(tbl_Office_Multi[[#This Row],[Rating Type]]&amp;" "&amp;tbl_Office_Multi[[#Headers],[B]],tbl_Office_Coefficients[#Headers],0))</f>
        <v>-3.2620000000000003E-2</v>
      </c>
      <c r="BM6" s="45">
        <f t="shared" si="0"/>
        <v>6.5000099999999996</v>
      </c>
      <c r="BN6" s="45">
        <f>1/(-tbl_Office_Multi[[#This Row],[GEat_5_stars]]/2)</f>
        <v>-2.0230010331689023E-2</v>
      </c>
      <c r="BO6" s="36">
        <f>IF(tbl_Office_Multi[[#This Row],[Target Water]]&lt;=5,
tbl_Office_Multi[[#This Row],[M star]]-((tbl_Office_Multi[[#This Row],[Target Water]]-IF(tbl_Office_Multi[[#This Row],[Target Water]]=5,Office_C_W_R_star_rating_offset_at_5_stars,Office_C_W_R_star_rating_offset))/Office_C_W_Median_Rating-1)*(tbl_Office_Multi[[#This Row],[M star]]-tbl_Office_Multi[[#This Row],[Alpha star]]),
"N/A")</f>
        <v>0.46483105777777789</v>
      </c>
      <c r="BP6" s="36">
        <f>IF(tbl_Office_Multi[[#This Row],[Target Water]]&lt;=5,
Office_C_W_M_star_Intercept+Office_C_W_Alpha_Star_Hrs_Coefficient*(tbl_Office_Multi[[#This Row],[Hrs]]-Office_C_W_Hrs_Offset)-Office_C_W2_Hrs_Ratio*((tbl_Office_Multi[[#This Row],[Target Water]]-IF(tbl_Office_Multi[[#This Row],[Target Water]]=5,Office_C_W_R_star_rating_offset_at_5_stars,Office_C_W_R_star_rating_offset))/Office_C_W_Median_Rating-1),
"N/A")</f>
        <v>0.41609777777777784</v>
      </c>
      <c r="BQ6" s="127">
        <f>Office_C_W_Alpha_Star_Intercept+Office_C_W_Alpha_Star_Hrs_Coefficient*(tbl_Office_Multi[[#This Row],[Hrs]]-Office_C_W_Hrs_Offset)</f>
        <v>0.39032</v>
      </c>
      <c r="BR6" s="36">
        <f>(tbl_Office_Multi[[#This Row],[M]]-Office_C_W_M_star_Intercept)*(1+Office_C_W_M_star_Hrs_Coefficient*(tbl_Office_Multi[[#This Row],[Hrs]]-Office_C_W_Hrs_Offset))+Office_C_W_Alpha_Star_Hrs_Coefficient*(tbl_Office_Multi[[#This Row],[Hrs]]-Office_C_W_Hrs_Offset)+Office_C_W_M_star_Intercept</f>
        <v>1.2285694</v>
      </c>
      <c r="BS6" s="45">
        <f>IF(tbl_Office_Multi[[#This Row],[CDD]]&lt;1100,tbl_Office_Multi[[#This Row],[0.64+0.0009*CDD]],tbl_Office_Multi[[#This Row],[1.63+0.00023*CDD]])</f>
        <v>1.1269</v>
      </c>
      <c r="BT6" s="36">
        <f>Office_C_W_Low_CDD_Intercept+Office_C_W_Low_CDD_Coefficient*tbl_Office_Multi[[#This Row],[CDD]]</f>
        <v>1.1269</v>
      </c>
      <c r="BU6" s="38">
        <f>Office_C_W_High_CDD_Intercept+Office_C_W_High_CDD_coefficient*tbl_Office_Multi[[#This Row],[CDD]]</f>
        <v>1.7544299999999999</v>
      </c>
      <c r="BV6" s="36">
        <f>Office_C_W_M_star_Intercept+Office_C_W_Alpha_Star_Hrs_Coefficient*(tbl_Office_Multi[[#This Row],[Hrs]]-Office_C_W_Hrs_Offset)-Office_C_W2_Hrs_Ratio*(Office_C_W_R_at_5_stars/Office_C_W_Median_Rating-1)</f>
        <v>0.39032000000000006</v>
      </c>
      <c r="BW6" s="45">
        <f t="shared" si="1"/>
        <v>6.5000999999999998</v>
      </c>
      <c r="BX6" s="45">
        <f>-2/tbl_Office_Multi[[#This Row],[wat_5stars]]</f>
        <v>-5.1240008198401306</v>
      </c>
      <c r="BY6" s="36">
        <f>tbl_Office_Multi[[#This Row],[M star]]-tbl_Office_Multi[[#This Row],[w (with recyc)]]</f>
        <v>1.0107822884149551</v>
      </c>
      <c r="BZ6" s="36">
        <f>tbl_Office_Multi[[#This Row],[M star]]-tbl_Office_Multi[[#This Row],[Alpha star]]</f>
        <v>0.83824940000000003</v>
      </c>
      <c r="CA6" s="36">
        <f>(Office_C_W_M_star_Intercept+Office_C_W_Alpha_Star_Hrs_Coefficient*(tbl_Office_Multi[[#This Row],[Hrs]]-Office_C_W_Hrs_Offset)-tbl_Office_Multi[[#This Row],[w (with recyc)]])/Office_C_W2_Hrs_Ratio</f>
        <v>1.5949409945343276</v>
      </c>
      <c r="CB6" s="36">
        <f>(tbl_Office_Multi[[#This Row],[Target Energy]]-Office_C_Reverse_Star_Band_Residual_Adjustment-tbl_Office_Multi[[#This Row],[A]])/tbl_Office_Multi[[#This Row],[B]]</f>
        <v>179.9509503372164</v>
      </c>
      <c r="CC6" s="36">
        <f>IF(tbl_Office_Multi[[#This Row],[Target Energy]]&gt;5,
(tbl_Office_Multi[[#This Row],[Target Energy]]-Hotel_C_Reverse_Star_Band_Residual_Adjustment-tbl_Office_Multi[[#This Row],[AEnergybeyond5stars]])/tbl_Office_Multi[[#This Row],[BEnergybeyond5stars gasMJ]],
IF(tbl_Office_Multi[[#This Row],[Rating Type]]="Base Building",
tbl_Office_Multi[[#This Row],[Target Max Energy NGE]]/tbl_Office_Multi[[#This Row],[f_basebuilding]]-tbl_Office_Multi[[#This Row],[GEcorrclimate]],
IF(tbl_Office_Multi[[#This Row],[Rating Type]]="Tenancy",
tbl_Office_Multi[[#This Row],[Target Max Energy NGE]]/tbl_Office_Multi[[#This Row],[f_tenancy]]-tbl_Office_Multi[[#This Row],[GEcorrtenancy]],
IF(tbl_Office_Multi[[#This Row],[Rating Type]]="Whole Building",
(tbl_Office_Multi[[#This Row],[Target Max Energy NGE]]-tbl_Office_Multi[[#This Row],[f_tenancy]]*tbl_Office_Multi[[#This Row],[GEcorrtenancy]]-tbl_Office_Multi[[#This Row],[f_basebuilding]]*tbl_Office_Multi[[#This Row],[GEcorrclimate]])/((tbl_Office_Multi[[#This Row],[f_basebuilding]]+tbl_Office_Multi[[#This Row],[f_tenancy]])/2),
0))))</f>
        <v>256.27422667476577</v>
      </c>
      <c r="CD6" s="44">
        <f>tbl_Office_Multi[[#This Row],[Target Max GE]]*tbl_Office_Multi[[#This Row],[NLA]]</f>
        <v>5503514.6452632621</v>
      </c>
      <c r="CE6" s="44">
        <f>tbl_Office_Multi[[#This Row],[Target Max CO2]]/tbl_Office_Multi[[#This Row],[EffGHGMJ]]</f>
        <v>33353643.711570151</v>
      </c>
      <c r="CF6" s="44">
        <f>tbl_Office_Multi[[#This Row],[Target Max Energy (MJ)]]/tbl_Office_Multi[[#This Row],[NLA]]</f>
        <v>1553.1310080777344</v>
      </c>
      <c r="CG6" s="44">
        <f>ROUNDDOWN(tbl_Office_Multi[[#This Row],[Target Max Energy (MJ)]]*tbl_Office_Multi[[#This Row],[Electricity (%)]]/tbl_Office_Multi[[#This Row],[CFelec]],0)</f>
        <v>5003046</v>
      </c>
      <c r="CH6" s="44">
        <f>ROUNDDOWN(tbl_Office_Multi[[#This Row],[Target Max Energy (MJ)]]*tbl_Office_Multi[[#This Row],[Gas (%)]],0)</f>
        <v>14342066</v>
      </c>
      <c r="CI6" s="44">
        <f>ROUNDDOWN(tbl_Office_Multi[[#This Row],[Target Max Energy (MJ)]]*tbl_Office_Multi[[#This Row],[Diesel (%)]]/tbl_Office_Multi[[#This Row],[CFdiesel]],0)</f>
        <v>25922</v>
      </c>
      <c r="CJ6" s="44">
        <f>SUM(tbl_Office_Multi[[#This Row],[Target Max Elec (kWh)]]*tbl_Office_Multi[[#This Row],[SGEe Scopes 1,2&amp;3]],
tbl_Office_Multi[[#This Row],[Target Max Gas (MJ)]]*tbl_Office_Multi[[#This Row],[SGEg Scopes 1,2&amp;3]],
tbl_Office_Multi[[#This Row],[Target Max Diesel (L)]]*tbl_Office_Multi[[#This Row],[SGEd Scopes 1,2&amp;3]])</f>
        <v>5303390.7685399996</v>
      </c>
      <c r="CK6" s="44">
        <f>SUM(tbl_Office_Multi[[#This Row],[Target Max Elec (kWh)]]*tbl_Office_Multi[[#This Row],[SGEe Scopes 1&amp;2]],
tbl_Office_Multi[[#This Row],[Target Max Gas (MJ)]]*tbl_Office_Multi[[#This Row],[SGEg Scopes 1&amp;2]],
tbl_Office_Multi[[#This Row],[Target Max Diesel (L)]]*tbl_Office_Multi[[#This Row],[SGEd Scopes 1&amp;2]])</f>
        <v>4761694.3628200004</v>
      </c>
      <c r="CL6" s="45">
        <f>ROUNDDOWN(tbl_Office_Multi[[#This Row],[max w]]*tbl_Office_Multi[[#This Row],[NLA]],0)</f>
        <v>9982</v>
      </c>
      <c r="CM6" s="36">
        <f>IF(tbl_Office_Multi[[#This Row],[Target Water]]&lt;=5,IF(tbl_Office_Multi[[#This Row],[w1]]&gt;=tbl_Office_Multi[[#This Row],[Alpha star]],tbl_Office_Multi[[#This Row],[w1]],tbl_Office_Multi[[#This Row],[w2]]),
((7-tbl_Office_Multi[[#This Row],[Target Water]])/2)*tbl_Office_Multi[[#This Row],[wat_5stars]])</f>
        <v>0.46483105777777789</v>
      </c>
      <c r="CN6" s="36">
        <f>(LEFT(tbl_Office_Multi[[#Headers],[6.0* Max NGE]],3)-tbl_Office_Multi[[A]:[A]]-Office_C_Reverse_Star_Band_Residual_Adjustment)/tbl_Office_Multi[[B]:[B]]</f>
        <v>38.933169834457374</v>
      </c>
      <c r="CO6" s="36">
        <f>(LEFT(tbl_Office_Multi[[#Headers],[5.5* Max NGE]],3)-tbl_Office_Multi[[A]:[A]]-Office_C_Reverse_Star_Band_Residual_Adjustment)/tbl_Office_Multi[[B]:[B]]</f>
        <v>54.261189454322484</v>
      </c>
      <c r="CP6" s="36">
        <f>(LEFT(tbl_Office_Multi[[#Headers],[5.0* Max NGE]],3)-tbl_Office_Multi[[A]:[A]]-Office_C_Reverse_Star_Band_Residual_Adjustment)/tbl_Office_Multi[[B]:[B]]</f>
        <v>69.589209074187593</v>
      </c>
      <c r="CQ6" s="36">
        <f>(LEFT(tbl_Office_Multi[[#Headers],[4.5* Max NGE]],3)-tbl_Office_Multi[[A]:[A]]-Office_C_Reverse_Star_Band_Residual_Adjustment)/tbl_Office_Multi[[B]:[B]]</f>
        <v>84.91722869405271</v>
      </c>
      <c r="CR6" s="36">
        <f>(LEFT(tbl_Office_Multi[[#Headers],[4.0* Max NGE]],3)-tbl_Office_Multi[[A]:[A]]-Office_C_Reverse_Star_Band_Residual_Adjustment)/tbl_Office_Multi[[B]:[B]]</f>
        <v>100.24524831391781</v>
      </c>
      <c r="CS6" s="36">
        <f>(LEFT(tbl_Office_Multi[[#Headers],[3.5* Max NGE]],3)-tbl_Office_Multi[[A]:[A]]-Office_C_Reverse_Star_Band_Residual_Adjustment)/tbl_Office_Multi[[B]:[B]]</f>
        <v>115.57326793378293</v>
      </c>
      <c r="CT6" s="36">
        <f>(LEFT(tbl_Office_Multi[[#Headers],[3.0* Max NGE]],3)-tbl_Office_Multi[[A]:[A]]-Office_C_Reverse_Star_Band_Residual_Adjustment)/tbl_Office_Multi[[B]:[B]]</f>
        <v>130.90128755364805</v>
      </c>
      <c r="CU6" s="36">
        <f>(LEFT(tbl_Office_Multi[[#Headers],[2.5* Max NGE]],3)-tbl_Office_Multi[[A]:[A]]-Office_C_Reverse_Star_Band_Residual_Adjustment)/tbl_Office_Multi[[B]:[B]]</f>
        <v>146.22930717351315</v>
      </c>
      <c r="CV6" s="36">
        <f>(LEFT(tbl_Office_Multi[[#Headers],[2.0* Max NGE]],3)-tbl_Office_Multi[[A]:[A]]-Office_C_Reverse_Star_Band_Residual_Adjustment)/tbl_Office_Multi[[B]:[B]]</f>
        <v>161.55732679337828</v>
      </c>
      <c r="CW6" s="36">
        <f>(LEFT(tbl_Office_Multi[[#Headers],[1.5* Max NGE]],3)-tbl_Office_Multi[[A]:[A]]-Office_C_Reverse_Star_Band_Residual_Adjustment)/tbl_Office_Multi[[B]:[B]]</f>
        <v>176.88534641324338</v>
      </c>
      <c r="CX6" s="36">
        <f>(LEFT(tbl_Office_Multi[[#Headers],[1.0* Max NGE]],3)-tbl_Office_Multi[[A]:[A]]-Office_C_Reverse_Star_Band_Residual_Adjustment)/tbl_Office_Multi[[B]:[B]]</f>
        <v>192.21336603310849</v>
      </c>
      <c r="CY6" s="36">
        <f>(LEFT(tbl_Office_Multi[[#Headers],[0.0* Max NGE]],3)-tbl_Office_Multi[[A]:[A]]-Office_C_Reverse_Star_Band_Residual_Adjustment)/tbl_Office_Multi[[B]:[B]]</f>
        <v>222.86940527283872</v>
      </c>
      <c r="CZ6" s="36">
        <f>IF(LEFT(tbl_Office_Multi[[#Headers],[6.0* Max GE]],3)*1&gt;5,
(LEFT(tbl_Office_Multi[[#Headers],[6.0* Max GE]],3)-Office_C_Reverse_Star_Band_Residual_Adjustment-tbl_Office_Multi[[AEnergybeyond5stars]:[AEnergybeyond5stars]])/tbl_Office_Multi[[BEnergybeyond5stars gasMJ]:[BEnergybeyond5stars gasMJ]],
IF(tbl_Office_Multi[[Rating Type]:[Rating Type]]="Base Building",tbl_Office_Multi[[#This Row],[6.0* Max NGE]]/tbl_Office_Multi[[f_basebuilding]:[f_basebuilding]]-tbl_Office_Multi[[GEcorrclimate]:[GEcorrclimate]],
IF(tbl_Office_Multi[[Rating Type]:[Rating Type]]="Tenancy",tbl_Office_Multi[[#This Row],[6.0* Max NGE]]/tbl_Office_Multi[[f_tenancy]:[f_tenancy]]-tbl_Office_Multi[[GEcorrtenancy]:[GEcorrtenancy]],
IF(tbl_Office_Multi[[Rating Type]:[Rating Type]]="Whole Building",(tbl_Office_Multi[[#This Row],[6.0* Max NGE]]-tbl_Office_Multi[[f_tenancy]:[f_tenancy]]*tbl_Office_Multi[[GEcorrtenancy]:[GEcorrtenancy]]-tbl_Office_Multi[[f_basebuilding]:[f_basebuilding]]*tbl_Office_Multi[[GEcorrclimate]:[GEcorrclimate]])/((tbl_Office_Multi[[f_basebuilding]:[f_basebuilding]]+tbl_Office_Multi[[f_tenancy]:[f_tenancy]])/2),0))))</f>
        <v>49.432006390701027</v>
      </c>
      <c r="DA6" s="36">
        <f>IF(LEFT(tbl_Office_Multi[[#Headers],[5.5* Max GE]],3)*1&gt;5,
(LEFT(tbl_Office_Multi[[#Headers],[5.5* Max GE]],3)-Office_C_Reverse_Star_Band_Residual_Adjustment-tbl_Office_Multi[[AEnergybeyond5stars]:[AEnergybeyond5stars]])/tbl_Office_Multi[[BEnergybeyond5stars gasMJ]:[BEnergybeyond5stars gasMJ]],
IF(tbl_Office_Multi[[Rating Type]:[Rating Type]]="Base Building",tbl_Office_Multi[[#This Row],[5.5* Max NGE]]/tbl_Office_Multi[[f_basebuilding]:[f_basebuilding]]-tbl_Office_Multi[[GEcorrclimate]:[GEcorrclimate]],
IF(tbl_Office_Multi[[Rating Type]:[Rating Type]]="Tenancy",tbl_Office_Multi[[#This Row],[5.5* Max NGE]]/tbl_Office_Multi[[f_tenancy]:[f_tenancy]]-tbl_Office_Multi[[GEcorrtenancy]:[GEcorrtenancy]],
IF(tbl_Office_Multi[[Rating Type]:[Rating Type]]="Whole Building",(tbl_Office_Multi[[#This Row],[5.5* Max NGE]]-tbl_Office_Multi[[f_tenancy]:[f_tenancy]]*tbl_Office_Multi[[GEcorrtenancy]:[GEcorrtenancy]]-tbl_Office_Multi[[f_basebuilding]:[f_basebuilding]]*tbl_Office_Multi[[GEcorrclimate]:[GEcorrclimate]])/((tbl_Office_Multi[[f_basebuilding]:[f_basebuilding]]+tbl_Office_Multi[[f_tenancy]:[f_tenancy]])/2),0))))</f>
        <v>74.147762428491177</v>
      </c>
      <c r="DB6" s="36">
        <f>IF(LEFT(tbl_Office_Multi[[#Headers],[5.0* Max GE]],3)*1&gt;5,
(LEFT(tbl_Office_Multi[[#Headers],[5.0* Max GE]],3)-Office_C_Reverse_Star_Band_Residual_Adjustment-tbl_Office_Multi[[AEnergybeyond5stars]:[AEnergybeyond5stars]])/tbl_Office_Multi[[BEnergybeyond5stars gasMJ]:[BEnergybeyond5stars gasMJ]],
IF(tbl_Office_Multi[[Rating Type]:[Rating Type]]="Base Building",tbl_Office_Multi[[#This Row],[5.0* Max NGE]]/tbl_Office_Multi[[f_basebuilding]:[f_basebuilding]]-tbl_Office_Multi[[GEcorrclimate]:[GEcorrclimate]],
IF(tbl_Office_Multi[[Rating Type]:[Rating Type]]="Tenancy",tbl_Office_Multi[[#This Row],[5.0* Max NGE]]/tbl_Office_Multi[[f_tenancy]:[f_tenancy]]-tbl_Office_Multi[[GEcorrtenancy]:[GEcorrtenancy]],
IF(tbl_Office_Multi[[Rating Type]:[Rating Type]]="Whole Building",(tbl_Office_Multi[[#This Row],[5.0* Max NGE]]-tbl_Office_Multi[[f_tenancy]:[f_tenancy]]*tbl_Office_Multi[[GEcorrtenancy]:[GEcorrtenancy]]-tbl_Office_Multi[[f_basebuilding]:[f_basebuilding]]*tbl_Office_Multi[[GEcorrclimate]:[GEcorrclimate]])/((tbl_Office_Multi[[f_basebuilding]:[f_basebuilding]]+tbl_Office_Multi[[f_tenancy]:[f_tenancy]])/2),0))))</f>
        <v>98.863067876482475</v>
      </c>
      <c r="DC6" s="36">
        <f>IF(LEFT(tbl_Office_Multi[[#Headers],[4.5* Max GE]],3)*1&gt;5,
(LEFT(tbl_Office_Multi[[#Headers],[4.5* Max GE]],3)-Office_C_Reverse_Star_Band_Residual_Adjustment-tbl_Office_Multi[[AEnergybeyond5stars]:[AEnergybeyond5stars]])/tbl_Office_Multi[[BEnergybeyond5stars gasMJ]:[BEnergybeyond5stars gasMJ]],
IF(tbl_Office_Multi[[Rating Type]:[Rating Type]]="Base Building",tbl_Office_Multi[[#This Row],[4.5* Max NGE]]/tbl_Office_Multi[[f_basebuilding]:[f_basebuilding]]-tbl_Office_Multi[[GEcorrclimate]:[GEcorrclimate]],
IF(tbl_Office_Multi[[Rating Type]:[Rating Type]]="Tenancy",tbl_Office_Multi[[#This Row],[4.5* Max NGE]]/tbl_Office_Multi[[f_tenancy]:[f_tenancy]]-tbl_Office_Multi[[GEcorrtenancy]:[GEcorrtenancy]],
IF(tbl_Office_Multi[[Rating Type]:[Rating Type]]="Whole Building",(tbl_Office_Multi[[#This Row],[4.5* Max NGE]]-tbl_Office_Multi[[f_tenancy]:[f_tenancy]]*tbl_Office_Multi[[GEcorrtenancy]:[GEcorrtenancy]]-tbl_Office_Multi[[f_basebuilding]:[f_basebuilding]]*tbl_Office_Multi[[GEcorrclimate]:[GEcorrclimate]])/((tbl_Office_Multi[[f_basebuilding]:[f_basebuilding]]+tbl_Office_Multi[[f_tenancy]:[f_tenancy]])/2),0))))</f>
        <v>120.72572882068849</v>
      </c>
      <c r="DD6" s="36">
        <f>IF(LEFT(tbl_Office_Multi[[#Headers],[4.0* Max GE]],3)*1&gt;5,
(LEFT(tbl_Office_Multi[[#Headers],[4.0* Max GE]],3)-Office_C_Reverse_Star_Band_Residual_Adjustment-tbl_Office_Multi[[AEnergybeyond5stars]:[AEnergybeyond5stars]])/tbl_Office_Multi[[BEnergybeyond5stars gasMJ]:[BEnergybeyond5stars gasMJ]],
IF(tbl_Office_Multi[[Rating Type]:[Rating Type]]="Base Building",tbl_Office_Multi[[#This Row],[4.0* Max NGE]]/tbl_Office_Multi[[f_basebuilding]:[f_basebuilding]]-tbl_Office_Multi[[GEcorrclimate]:[GEcorrclimate]],
IF(tbl_Office_Multi[[Rating Type]:[Rating Type]]="Tenancy",tbl_Office_Multi[[#This Row],[4.0* Max NGE]]/tbl_Office_Multi[[f_tenancy]:[f_tenancy]]-tbl_Office_Multi[[GEcorrtenancy]:[GEcorrtenancy]],
IF(tbl_Office_Multi[[Rating Type]:[Rating Type]]="Whole Building",(tbl_Office_Multi[[#This Row],[4.0* Max NGE]]-tbl_Office_Multi[[f_tenancy]:[f_tenancy]]*tbl_Office_Multi[[GEcorrtenancy]:[GEcorrtenancy]]-tbl_Office_Multi[[f_basebuilding]:[f_basebuilding]]*tbl_Office_Multi[[GEcorrclimate]:[GEcorrclimate]])/((tbl_Office_Multi[[f_basebuilding]:[f_basebuilding]]+tbl_Office_Multi[[f_tenancy]:[f_tenancy]])/2),0))))</f>
        <v>142.58838976489449</v>
      </c>
      <c r="DE6" s="36">
        <f>IF(LEFT(tbl_Office_Multi[[#Headers],[3.5* Max GE]],3)*1&gt;5,
(LEFT(tbl_Office_Multi[[#Headers],[3.5* Max GE]],3)-Office_C_Reverse_Star_Band_Residual_Adjustment-tbl_Office_Multi[[AEnergybeyond5stars]:[AEnergybeyond5stars]])/tbl_Office_Multi[[BEnergybeyond5stars gasMJ]:[BEnergybeyond5stars gasMJ]],
IF(tbl_Office_Multi[[Rating Type]:[Rating Type]]="Base Building",tbl_Office_Multi[[#This Row],[3.5* Max NGE]]/tbl_Office_Multi[[f_basebuilding]:[f_basebuilding]]-tbl_Office_Multi[[GEcorrclimate]:[GEcorrclimate]],
IF(tbl_Office_Multi[[Rating Type]:[Rating Type]]="Tenancy",tbl_Office_Multi[[#This Row],[3.5* Max NGE]]/tbl_Office_Multi[[f_tenancy]:[f_tenancy]]-tbl_Office_Multi[[GEcorrtenancy]:[GEcorrtenancy]],
IF(tbl_Office_Multi[[Rating Type]:[Rating Type]]="Whole Building",(tbl_Office_Multi[[#This Row],[3.5* Max NGE]]-tbl_Office_Multi[[f_tenancy]:[f_tenancy]]*tbl_Office_Multi[[GEcorrtenancy]:[GEcorrtenancy]]-tbl_Office_Multi[[f_basebuilding]:[f_basebuilding]]*tbl_Office_Multi[[GEcorrclimate]:[GEcorrclimate]])/((tbl_Office_Multi[[f_basebuilding]:[f_basebuilding]]+tbl_Office_Multi[[f_tenancy]:[f_tenancy]])/2),0))))</f>
        <v>164.45105070910049</v>
      </c>
      <c r="DF6" s="36">
        <f>IF(LEFT(tbl_Office_Multi[[#Headers],[3.0* Max GE]],3)*1&gt;5,
(LEFT(tbl_Office_Multi[[#Headers],[3.0* Max GE]],3)-Office_C_Reverse_Star_Band_Residual_Adjustment-tbl_Office_Multi[[AEnergybeyond5stars]:[AEnergybeyond5stars]])/tbl_Office_Multi[[BEnergybeyond5stars gasMJ]:[BEnergybeyond5stars gasMJ]],
IF(tbl_Office_Multi[[Rating Type]:[Rating Type]]="Base Building",tbl_Office_Multi[[#This Row],[3.0* Max NGE]]/tbl_Office_Multi[[f_basebuilding]:[f_basebuilding]]-tbl_Office_Multi[[GEcorrclimate]:[GEcorrclimate]],
IF(tbl_Office_Multi[[Rating Type]:[Rating Type]]="Tenancy",tbl_Office_Multi[[#This Row],[3.0* Max NGE]]/tbl_Office_Multi[[f_tenancy]:[f_tenancy]]-tbl_Office_Multi[[GEcorrtenancy]:[GEcorrtenancy]],
IF(tbl_Office_Multi[[Rating Type]:[Rating Type]]="Whole Building",(tbl_Office_Multi[[#This Row],[3.0* Max NGE]]-tbl_Office_Multi[[f_tenancy]:[f_tenancy]]*tbl_Office_Multi[[GEcorrtenancy]:[GEcorrtenancy]]-tbl_Office_Multi[[f_basebuilding]:[f_basebuilding]]*tbl_Office_Multi[[GEcorrclimate]:[GEcorrclimate]])/((tbl_Office_Multi[[f_basebuilding]:[f_basebuilding]]+tbl_Office_Multi[[f_tenancy]:[f_tenancy]])/2),0))))</f>
        <v>186.31371165330651</v>
      </c>
      <c r="DG6" s="36">
        <f>IF(LEFT(tbl_Office_Multi[[#Headers],[2.5* Max GE]],3)*1&gt;5,
(LEFT(tbl_Office_Multi[[#Headers],[2.5* Max GE]],3)-Office_C_Reverse_Star_Band_Residual_Adjustment-tbl_Office_Multi[[AEnergybeyond5stars]:[AEnergybeyond5stars]])/tbl_Office_Multi[[BEnergybeyond5stars gasMJ]:[BEnergybeyond5stars gasMJ]],
IF(tbl_Office_Multi[[Rating Type]:[Rating Type]]="Base Building",tbl_Office_Multi[[#This Row],[2.5* Max NGE]]/tbl_Office_Multi[[f_basebuilding]:[f_basebuilding]]-tbl_Office_Multi[[GEcorrclimate]:[GEcorrclimate]],
IF(tbl_Office_Multi[[Rating Type]:[Rating Type]]="Tenancy",tbl_Office_Multi[[#This Row],[2.5* Max NGE]]/tbl_Office_Multi[[f_tenancy]:[f_tenancy]]-tbl_Office_Multi[[GEcorrtenancy]:[GEcorrtenancy]],
IF(tbl_Office_Multi[[Rating Type]:[Rating Type]]="Whole Building",(tbl_Office_Multi[[#This Row],[2.5* Max NGE]]-tbl_Office_Multi[[f_tenancy]:[f_tenancy]]*tbl_Office_Multi[[GEcorrtenancy]:[GEcorrtenancy]]-tbl_Office_Multi[[f_basebuilding]:[f_basebuilding]]*tbl_Office_Multi[[GEcorrclimate]:[GEcorrclimate]])/((tbl_Office_Multi[[f_basebuilding]:[f_basebuilding]]+tbl_Office_Multi[[f_tenancy]:[f_tenancy]])/2),0))))</f>
        <v>208.17637259751251</v>
      </c>
      <c r="DH6" s="36">
        <f>IF(LEFT(tbl_Office_Multi[[#Headers],[2.0* Max GE]],3)*1&gt;5,
(LEFT(tbl_Office_Multi[[#Headers],[2.0* Max GE]],3)-Office_C_Reverse_Star_Band_Residual_Adjustment-tbl_Office_Multi[[AEnergybeyond5stars]:[AEnergybeyond5stars]])/tbl_Office_Multi[[BEnergybeyond5stars gasMJ]:[BEnergybeyond5stars gasMJ]],
IF(tbl_Office_Multi[[Rating Type]:[Rating Type]]="Base Building",tbl_Office_Multi[[#This Row],[2.0* Max NGE]]/tbl_Office_Multi[[f_basebuilding]:[f_basebuilding]]-tbl_Office_Multi[[GEcorrclimate]:[GEcorrclimate]],
IF(tbl_Office_Multi[[Rating Type]:[Rating Type]]="Tenancy",tbl_Office_Multi[[#This Row],[2.0* Max NGE]]/tbl_Office_Multi[[f_tenancy]:[f_tenancy]]-tbl_Office_Multi[[GEcorrtenancy]:[GEcorrtenancy]],
IF(tbl_Office_Multi[[Rating Type]:[Rating Type]]="Whole Building",(tbl_Office_Multi[[#This Row],[2.0* Max NGE]]-tbl_Office_Multi[[f_tenancy]:[f_tenancy]]*tbl_Office_Multi[[GEcorrtenancy]:[GEcorrtenancy]]-tbl_Office_Multi[[f_basebuilding]:[f_basebuilding]]*tbl_Office_Multi[[GEcorrclimate]:[GEcorrclimate]])/((tbl_Office_Multi[[f_basebuilding]:[f_basebuilding]]+tbl_Office_Multi[[f_tenancy]:[f_tenancy]])/2),0))))</f>
        <v>230.03903354171854</v>
      </c>
      <c r="DI6" s="36">
        <f>IF(LEFT(tbl_Office_Multi[[#Headers],[1.5* Max GE]],3)*1&gt;5,
(LEFT(tbl_Office_Multi[[#Headers],[1.5* Max GE]],3)-Office_C_Reverse_Star_Band_Residual_Adjustment-tbl_Office_Multi[[AEnergybeyond5stars]:[AEnergybeyond5stars]])/tbl_Office_Multi[[BEnergybeyond5stars gasMJ]:[BEnergybeyond5stars gasMJ]],
IF(tbl_Office_Multi[[Rating Type]:[Rating Type]]="Base Building",tbl_Office_Multi[[#This Row],[1.5* Max NGE]]/tbl_Office_Multi[[f_basebuilding]:[f_basebuilding]]-tbl_Office_Multi[[GEcorrclimate]:[GEcorrclimate]],
IF(tbl_Office_Multi[[Rating Type]:[Rating Type]]="Tenancy",tbl_Office_Multi[[#This Row],[1.5* Max NGE]]/tbl_Office_Multi[[f_tenancy]:[f_tenancy]]-tbl_Office_Multi[[GEcorrtenancy]:[GEcorrtenancy]],
IF(tbl_Office_Multi[[Rating Type]:[Rating Type]]="Whole Building",(tbl_Office_Multi[[#This Row],[1.5* Max NGE]]-tbl_Office_Multi[[f_tenancy]:[f_tenancy]]*tbl_Office_Multi[[GEcorrtenancy]:[GEcorrtenancy]]-tbl_Office_Multi[[f_basebuilding]:[f_basebuilding]]*tbl_Office_Multi[[GEcorrclimate]:[GEcorrclimate]])/((tbl_Office_Multi[[f_basebuilding]:[f_basebuilding]]+tbl_Office_Multi[[f_tenancy]:[f_tenancy]])/2),0))))</f>
        <v>251.90169448592454</v>
      </c>
      <c r="DJ6" s="36">
        <f>IF(LEFT(tbl_Office_Multi[[#Headers],[1.0* Max GE]],3)*1&gt;5,
(LEFT(tbl_Office_Multi[[#Headers],[1.0* Max GE]],3)-Office_C_Reverse_Star_Band_Residual_Adjustment-tbl_Office_Multi[[AEnergybeyond5stars]:[AEnergybeyond5stars]])/tbl_Office_Multi[[BEnergybeyond5stars gasMJ]:[BEnergybeyond5stars gasMJ]],
IF(tbl_Office_Multi[[Rating Type]:[Rating Type]]="Base Building",tbl_Office_Multi[[#This Row],[1.0* Max NGE]]/tbl_Office_Multi[[f_basebuilding]:[f_basebuilding]]-tbl_Office_Multi[[GEcorrclimate]:[GEcorrclimate]],
IF(tbl_Office_Multi[[Rating Type]:[Rating Type]]="Tenancy",tbl_Office_Multi[[#This Row],[1.0* Max NGE]]/tbl_Office_Multi[[f_tenancy]:[f_tenancy]]-tbl_Office_Multi[[GEcorrtenancy]:[GEcorrtenancy]],
IF(tbl_Office_Multi[[Rating Type]:[Rating Type]]="Whole Building",(tbl_Office_Multi[[#This Row],[1.0* Max NGE]]-tbl_Office_Multi[[f_tenancy]:[f_tenancy]]*tbl_Office_Multi[[GEcorrtenancy]:[GEcorrtenancy]]-tbl_Office_Multi[[f_basebuilding]:[f_basebuilding]]*tbl_Office_Multi[[GEcorrclimate]:[GEcorrclimate]])/((tbl_Office_Multi[[f_basebuilding]:[f_basebuilding]]+tbl_Office_Multi[[f_tenancy]:[f_tenancy]])/2),0))))</f>
        <v>273.76435543013054</v>
      </c>
      <c r="DK6" s="36">
        <f>IF(LEFT(tbl_Office_Multi[[#Headers],[0.0* Max GE]],3)*1&gt;5,
(LEFT(tbl_Office_Multi[[#Headers],[0.0* Max GE]],3)-Office_C_Reverse_Star_Band_Residual_Adjustment-tbl_Office_Multi[[AEnergybeyond5stars]:[AEnergybeyond5stars]])/tbl_Office_Multi[[BEnergybeyond5stars gasMJ]:[BEnergybeyond5stars gasMJ]],
IF(tbl_Office_Multi[[Rating Type]:[Rating Type]]="Base Building",tbl_Office_Multi[[#This Row],[0.0* Max NGE]]/tbl_Office_Multi[[f_basebuilding]:[f_basebuilding]]-tbl_Office_Multi[[GEcorrclimate]:[GEcorrclimate]],
IF(tbl_Office_Multi[[Rating Type]:[Rating Type]]="Tenancy",tbl_Office_Multi[[#This Row],[0.0* Max NGE]]/tbl_Office_Multi[[f_tenancy]:[f_tenancy]]-tbl_Office_Multi[[GEcorrtenancy]:[GEcorrtenancy]],
IF(tbl_Office_Multi[[Rating Type]:[Rating Type]]="Whole Building",(tbl_Office_Multi[[#This Row],[0.0* Max NGE]]-tbl_Office_Multi[[f_tenancy]:[f_tenancy]]*tbl_Office_Multi[[GEcorrtenancy]:[GEcorrtenancy]]-tbl_Office_Multi[[f_basebuilding]:[f_basebuilding]]*tbl_Office_Multi[[GEcorrclimate]:[GEcorrclimate]])/((tbl_Office_Multi[[f_basebuilding]:[f_basebuilding]]+tbl_Office_Multi[[f_tenancy]:[f_tenancy]])/2),0))))</f>
        <v>317.48967731854259</v>
      </c>
      <c r="DL6" s="44">
        <f>tbl_Office_Multi[[#This Row],[6.0* Max GE]]*tbl_Office_Multi[[NLA]:[NLA]]</f>
        <v>1061557.2804409435</v>
      </c>
      <c r="DM6" s="44">
        <f>tbl_Office_Multi[[#This Row],[5.5* Max GE]]*tbl_Office_Multi[[NLA]:[NLA]]</f>
        <v>1592330.6129280908</v>
      </c>
      <c r="DN6" s="44">
        <f>tbl_Office_Multi[[#This Row],[5.0* Max GE]]*tbl_Office_Multi[[NLA]:[NLA]]</f>
        <v>2123094.2689542486</v>
      </c>
      <c r="DO6" s="44">
        <f>tbl_Office_Multi[[#This Row],[4.5* Max GE]]*tbl_Office_Multi[[NLA]:[NLA]]</f>
        <v>2592597.0989971673</v>
      </c>
      <c r="DP6" s="44">
        <f>tbl_Office_Multi[[#This Row],[4.0* Max GE]]*tbl_Office_Multi[[NLA]:[NLA]]</f>
        <v>3062099.9290400855</v>
      </c>
      <c r="DQ6" s="44">
        <f>tbl_Office_Multi[[#This Row],[3.5* Max GE]]*tbl_Office_Multi[[NLA]:[NLA]]</f>
        <v>3531602.7590830037</v>
      </c>
      <c r="DR6" s="44">
        <f>tbl_Office_Multi[[#This Row],[3.0* Max GE]]*tbl_Office_Multi[[NLA]:[NLA]]</f>
        <v>4001105.5891259224</v>
      </c>
      <c r="DS6" s="44">
        <f>tbl_Office_Multi[[#This Row],[2.5* Max GE]]*tbl_Office_Multi[[NLA]:[NLA]]</f>
        <v>4470608.4191688402</v>
      </c>
      <c r="DT6" s="44">
        <f>tbl_Office_Multi[[#This Row],[2.0* Max GE]]*tbl_Office_Multi[[NLA]:[NLA]]</f>
        <v>4940111.2492117593</v>
      </c>
      <c r="DU6" s="44">
        <f>tbl_Office_Multi[[#This Row],[1.5* Max GE]]*tbl_Office_Multi[[NLA]:[NLA]]</f>
        <v>5409614.0792546775</v>
      </c>
      <c r="DV6" s="44">
        <f>tbl_Office_Multi[[#This Row],[1.0* Max GE]]*tbl_Office_Multi[[NLA]:[NLA]]</f>
        <v>5879116.9092975957</v>
      </c>
      <c r="DW6" s="44">
        <f>tbl_Office_Multi[[#This Row],[0.0* Max GE]]*tbl_Office_Multi[[NLA]:[NLA]]</f>
        <v>6818122.5693834331</v>
      </c>
      <c r="DX6" s="44">
        <f>tbl_Office_Multi[[#This Row],[6.0* Max CO2]]/tbl_Office_Multi[[EffGHGMJ]:[EffGHGMJ]]</f>
        <v>6433489.4323801501</v>
      </c>
      <c r="DY6" s="44">
        <f>tbl_Office_Multi[[#This Row],[5.5* Max CO2]]/tbl_Office_Multi[[EffGHGMJ]:[EffGHGMJ]]</f>
        <v>9650201.9814447369</v>
      </c>
      <c r="DZ6" s="44">
        <f>tbl_Office_Multi[[#This Row],[5.0* Max CO2]]/tbl_Office_Multi[[EffGHGMJ]:[EffGHGMJ]]</f>
        <v>12866855.88703274</v>
      </c>
      <c r="EA6" s="44">
        <f>tbl_Office_Multi[[#This Row],[4.5* Max CO2]]/tbl_Office_Multi[[EffGHGMJ]:[EffGHGMJ]]</f>
        <v>15712243.08488516</v>
      </c>
      <c r="EB6" s="44">
        <f>tbl_Office_Multi[[#This Row],[4.0* Max CO2]]/tbl_Office_Multi[[EffGHGMJ]:[EffGHGMJ]]</f>
        <v>18557630.282737575</v>
      </c>
      <c r="EC6" s="44">
        <f>tbl_Office_Multi[[#This Row],[3.5* Max CO2]]/tbl_Office_Multi[[EffGHGMJ]:[EffGHGMJ]]</f>
        <v>21403017.480589993</v>
      </c>
      <c r="ED6" s="44">
        <f>tbl_Office_Multi[[#This Row],[3.0* Max CO2]]/tbl_Office_Multi[[EffGHGMJ]:[EffGHGMJ]]</f>
        <v>24248404.678442411</v>
      </c>
      <c r="EE6" s="44">
        <f>tbl_Office_Multi[[#This Row],[2.5* Max CO2]]/tbl_Office_Multi[[EffGHGMJ]:[EffGHGMJ]]</f>
        <v>27093791.876294825</v>
      </c>
      <c r="EF6" s="44">
        <f>tbl_Office_Multi[[#This Row],[2.0* Max CO2]]/tbl_Office_Multi[[EffGHGMJ]:[EffGHGMJ]]</f>
        <v>29939179.074147247</v>
      </c>
      <c r="EG6" s="44">
        <f>tbl_Office_Multi[[#This Row],[1.5* Max CO2]]/tbl_Office_Multi[[EffGHGMJ]:[EffGHGMJ]]</f>
        <v>32784566.271999665</v>
      </c>
      <c r="EH6" s="44">
        <f>tbl_Office_Multi[[#This Row],[1.0* Max CO2]]/tbl_Office_Multi[[EffGHGMJ]:[EffGHGMJ]]</f>
        <v>35629953.469852082</v>
      </c>
      <c r="EI6" s="44">
        <f>tbl_Office_Multi[[#This Row],[0.0* Max CO2]]/tbl_Office_Multi[[EffGHGMJ]:[EffGHGMJ]]</f>
        <v>41320727.865556918</v>
      </c>
      <c r="EJ6" s="44">
        <f>ROUNDDOWN(tbl_Office_Multi[[#This Row],[6.0* Max Energy (MJ)]]*tbl_Office_Multi[[Electricity (%)]:[Electricity (%)]]/tbl_Office_Multi[[CFelec]:[CFelec]],0)</f>
        <v>965023</v>
      </c>
      <c r="EK6" s="44">
        <f>ROUNDDOWN(tbl_Office_Multi[[#This Row],[5.5* Max Energy (MJ)]]*tbl_Office_Multi[[Electricity (%)]:[Electricity (%)]]/tbl_Office_Multi[[CFelec]:[CFelec]],0)</f>
        <v>1447530</v>
      </c>
      <c r="EL6" s="44">
        <f>ROUNDDOWN(tbl_Office_Multi[[#This Row],[5.0* Max Energy (MJ)]]*tbl_Office_Multi[[Electricity (%)]:[Electricity (%)]]/tbl_Office_Multi[[CFelec]:[CFelec]],0)</f>
        <v>1930028</v>
      </c>
      <c r="EM6" s="44">
        <f>ROUNDDOWN(tbl_Office_Multi[[#This Row],[4.5* Max Energy (MJ)]]*tbl_Office_Multi[[Electricity (%)]:[Electricity (%)]]/tbl_Office_Multi[[CFelec]:[CFelec]],0)</f>
        <v>2356836</v>
      </c>
      <c r="EN6" s="44">
        <f>ROUNDDOWN(tbl_Office_Multi[[#This Row],[4.0* Max Energy (MJ)]]*tbl_Office_Multi[[Electricity (%)]:[Electricity (%)]]/tbl_Office_Multi[[CFelec]:[CFelec]],0)</f>
        <v>2783644</v>
      </c>
      <c r="EO6" s="44">
        <f>ROUNDDOWN(tbl_Office_Multi[[#This Row],[3.5* Max Energy (MJ)]]*tbl_Office_Multi[[Electricity (%)]:[Electricity (%)]]/tbl_Office_Multi[[CFelec]:[CFelec]],0)</f>
        <v>3210452</v>
      </c>
      <c r="EP6" s="44">
        <f>ROUNDDOWN(tbl_Office_Multi[[#This Row],[3.0* Max Energy (MJ)]]*tbl_Office_Multi[[Electricity (%)]:[Electricity (%)]]/tbl_Office_Multi[[CFelec]:[CFelec]],0)</f>
        <v>3637260</v>
      </c>
      <c r="EQ6" s="44">
        <f>ROUNDDOWN(tbl_Office_Multi[[#This Row],[2.5* Max Energy (MJ)]]*tbl_Office_Multi[[Electricity (%)]:[Electricity (%)]]/tbl_Office_Multi[[CFelec]:[CFelec]],0)</f>
        <v>4064068</v>
      </c>
      <c r="ER6" s="44">
        <f>ROUNDDOWN(tbl_Office_Multi[[#This Row],[2.0* Max Energy (MJ)]]*tbl_Office_Multi[[Electricity (%)]:[Electricity (%)]]/tbl_Office_Multi[[CFelec]:[CFelec]],0)</f>
        <v>4490876</v>
      </c>
      <c r="ES6" s="44">
        <f>ROUNDDOWN(tbl_Office_Multi[[#This Row],[1.5* Max Energy (MJ)]]*tbl_Office_Multi[[Electricity (%)]:[Electricity (%)]]/tbl_Office_Multi[[CFelec]:[CFelec]],0)</f>
        <v>4917684</v>
      </c>
      <c r="ET6" s="44">
        <f>ROUNDDOWN(tbl_Office_Multi[[#This Row],[1.0* Max Energy (MJ)]]*tbl_Office_Multi[[Electricity (%)]:[Electricity (%)]]/tbl_Office_Multi[[CFelec]:[CFelec]],0)</f>
        <v>5344493</v>
      </c>
      <c r="EU6" s="44">
        <f>ROUNDDOWN(tbl_Office_Multi[[#This Row],[0.0* Max Energy (MJ)]]*tbl_Office_Multi[[Electricity (%)]:[Electricity (%)]]/tbl_Office_Multi[[CFelec]:[CFelec]],0)</f>
        <v>6198109</v>
      </c>
      <c r="EV6" s="44">
        <f>ROUNDDOWN(tbl_Office_Multi[[#This Row],[6.0* Max Energy (MJ)]]*tbl_Office_Multi[[Gas (%)]:[Gas (%)]],0)</f>
        <v>2766400</v>
      </c>
      <c r="EW6" s="44">
        <f>ROUNDDOWN(tbl_Office_Multi[[#This Row],[5.5* Max Energy (MJ)]]*tbl_Office_Multi[[Gas (%)]:[Gas (%)]],0)</f>
        <v>4149586</v>
      </c>
      <c r="EX6" s="44">
        <f>ROUNDDOWN(tbl_Office_Multi[[#This Row],[5.0* Max Energy (MJ)]]*tbl_Office_Multi[[Gas (%)]:[Gas (%)]],0)</f>
        <v>5532748</v>
      </c>
      <c r="EY6" s="44">
        <f>ROUNDDOWN(tbl_Office_Multi[[#This Row],[4.5* Max Energy (MJ)]]*tbl_Office_Multi[[Gas (%)]:[Gas (%)]],0)</f>
        <v>6756264</v>
      </c>
      <c r="EZ6" s="44">
        <f>ROUNDDOWN(tbl_Office_Multi[[#This Row],[4.0* Max Energy (MJ)]]*tbl_Office_Multi[[Gas (%)]:[Gas (%)]],0)</f>
        <v>7979781</v>
      </c>
      <c r="FA6" s="44">
        <f>ROUNDDOWN(tbl_Office_Multi[[#This Row],[3.5* Max Energy (MJ)]]*tbl_Office_Multi[[Gas (%)]:[Gas (%)]],0)</f>
        <v>9203297</v>
      </c>
      <c r="FB6" s="44">
        <f>ROUNDDOWN(tbl_Office_Multi[[#This Row],[3.0* Max Energy (MJ)]]*tbl_Office_Multi[[Gas (%)]:[Gas (%)]],0)</f>
        <v>10426814</v>
      </c>
      <c r="FC6" s="44">
        <f>ROUNDDOWN(tbl_Office_Multi[[#This Row],[2.5* Max Energy (MJ)]]*tbl_Office_Multi[[Gas (%)]:[Gas (%)]],0)</f>
        <v>11650330</v>
      </c>
      <c r="FD6" s="44">
        <f>ROUNDDOWN(tbl_Office_Multi[[#This Row],[2.0* Max Energy (MJ)]]*tbl_Office_Multi[[Gas (%)]:[Gas (%)]],0)</f>
        <v>12873847</v>
      </c>
      <c r="FE6" s="44">
        <f>ROUNDDOWN(tbl_Office_Multi[[#This Row],[1.5* Max Energy (MJ)]]*tbl_Office_Multi[[Gas (%)]:[Gas (%)]],0)</f>
        <v>14097363</v>
      </c>
      <c r="FF6" s="44">
        <f>ROUNDDOWN(tbl_Office_Multi[[#This Row],[1.0* Max Energy (MJ)]]*tbl_Office_Multi[[Gas (%)]:[Gas (%)]],0)</f>
        <v>15320879</v>
      </c>
      <c r="FG6" s="44">
        <f>ROUNDDOWN(tbl_Office_Multi[[#This Row],[0.0* Max Energy (MJ)]]*tbl_Office_Multi[[Gas (%)]:[Gas (%)]],0)</f>
        <v>17767912</v>
      </c>
      <c r="FH6" s="44">
        <f>ROUNDDOWN(tbl_Office_Multi[[#This Row],[6.0* Max Energy (MJ)]]*tbl_Office_Multi[[Diesel (%)]:[Diesel (%)]]/tbl_Office_Multi[[CFdiesel]:[CFdiesel]],0)</f>
        <v>5000</v>
      </c>
      <c r="FI6" s="44">
        <f>ROUNDDOWN(tbl_Office_Multi[[#This Row],[5.5* Max Energy (MJ)]]*tbl_Office_Multi[[Diesel (%)]:[Diesel (%)]]/tbl_Office_Multi[[CFdiesel]:[CFdiesel]],0)</f>
        <v>7500</v>
      </c>
      <c r="FJ6" s="44">
        <f>ROUNDDOWN(tbl_Office_Multi[[#This Row],[5.0* Max Energy (MJ)]]*tbl_Office_Multi[[Diesel (%)]:[Diesel (%)]]/tbl_Office_Multi[[CFdiesel]:[CFdiesel]],0)</f>
        <v>10000</v>
      </c>
      <c r="FK6" s="44">
        <f>ROUNDDOWN(tbl_Office_Multi[[#This Row],[4.5* Max Energy (MJ)]]*tbl_Office_Multi[[Diesel (%)]:[Diesel (%)]]/tbl_Office_Multi[[CFdiesel]:[CFdiesel]],0)</f>
        <v>12211</v>
      </c>
      <c r="FL6" s="44">
        <f>ROUNDDOWN(tbl_Office_Multi[[#This Row],[4.0* Max Energy (MJ)]]*tbl_Office_Multi[[Diesel (%)]:[Diesel (%)]]/tbl_Office_Multi[[CFdiesel]:[CFdiesel]],0)</f>
        <v>14423</v>
      </c>
      <c r="FM6" s="44">
        <f>ROUNDDOWN(tbl_Office_Multi[[#This Row],[3.5* Max Energy (MJ)]]*tbl_Office_Multi[[Diesel (%)]:[Diesel (%)]]/tbl_Office_Multi[[CFdiesel]:[CFdiesel]],0)</f>
        <v>16634</v>
      </c>
      <c r="FN6" s="44">
        <f>ROUNDDOWN(tbl_Office_Multi[[#This Row],[3.0* Max Energy (MJ)]]*tbl_Office_Multi[[Diesel (%)]:[Diesel (%)]]/tbl_Office_Multi[[CFdiesel]:[CFdiesel]],0)</f>
        <v>18845</v>
      </c>
      <c r="FO6" s="44">
        <f>ROUNDDOWN(tbl_Office_Multi[[#This Row],[2.5* Max Energy (MJ)]]*tbl_Office_Multi[[Diesel (%)]:[Diesel (%)]]/tbl_Office_Multi[[CFdiesel]:[CFdiesel]],0)</f>
        <v>21057</v>
      </c>
      <c r="FP6" s="44">
        <f>ROUNDDOWN(tbl_Office_Multi[[#This Row],[2.0* Max Energy (MJ)]]*tbl_Office_Multi[[Diesel (%)]:[Diesel (%)]]/tbl_Office_Multi[[CFdiesel]:[CFdiesel]],0)</f>
        <v>23268</v>
      </c>
      <c r="FQ6" s="44">
        <f>ROUNDDOWN(tbl_Office_Multi[[#This Row],[1.5* Max Energy (MJ)]]*tbl_Office_Multi[[Diesel (%)]:[Diesel (%)]]/tbl_Office_Multi[[CFdiesel]:[CFdiesel]],0)</f>
        <v>25480</v>
      </c>
      <c r="FR6" s="44">
        <f>ROUNDDOWN(tbl_Office_Multi[[#This Row],[1.0* Max Energy (MJ)]]*tbl_Office_Multi[[Diesel (%)]:[Diesel (%)]]/tbl_Office_Multi[[CFdiesel]:[CFdiesel]],0)</f>
        <v>27691</v>
      </c>
      <c r="FS6" s="44">
        <f>ROUNDDOWN(tbl_Office_Multi[[#This Row],[0.0* Max Energy (MJ)]]*tbl_Office_Multi[[Diesel (%)]:[Diesel (%)]]/tbl_Office_Multi[[CFdiesel]:[CFdiesel]],0)</f>
        <v>32114</v>
      </c>
      <c r="FT6" s="48" t="str">
        <f>IF(LEFT(tbl_Office_Multi[[#Headers],[6.0* w1]],3)*1&lt;=5,tbl_Office_Multi[[M star]:[M star]]-((LEFT(tbl_Office_Multi[[#Headers],[6.0* w1]],3)*1-IF(LEFT(tbl_Office_Multi[[#Headers],[6.0* w1]],3)*1=5,Office_C_W_R_star_rating_offset_at_5_stars,Office_C_W_R_star_rating_offset))/Office_C_W_Median_Rating-1)*(tbl_Office_Multi[[M star]:[M star]]-tbl_Office_Multi[[Alpha star]:[Alpha star]]),"N/A")</f>
        <v>N/A</v>
      </c>
      <c r="FU6" s="48" t="str">
        <f>IF(LEFT(tbl_Office_Multi[[#Headers],[5.5* w1]],3)*1&lt;=5,tbl_Office_Multi[[M star]:[M star]]-((LEFT(tbl_Office_Multi[[#Headers],[5.5* w1]],3)*1-IF(LEFT(tbl_Office_Multi[[#Headers],[5.5* w1]],3)*1=5,Office_C_W_R_star_rating_offset_at_5_stars,Office_C_W_R_star_rating_offset))/Office_C_W_Median_Rating-1)*(tbl_Office_Multi[[M star]:[M star]]-tbl_Office_Multi[[Alpha star]:[Alpha star]]),"N/A")</f>
        <v>N/A</v>
      </c>
      <c r="FV6" s="48">
        <f>IF(LEFT(tbl_Office_Multi[[#Headers],[5.0* w1]],3)*1&lt;=5,tbl_Office_Multi[[M star]:[M star]]-((LEFT(tbl_Office_Multi[[#Headers],[5.0* w1]],3)*1-IF(LEFT(tbl_Office_Multi[[#Headers],[5.0* w1]],3)*1=5,Office_C_W_R_star_rating_offset_at_5_stars,Office_C_W_R_star_rating_offset))/Office_C_W_Median_Rating-1)*(tbl_Office_Multi[[M star]:[M star]]-tbl_Office_Multi[[Alpha star]:[Alpha star]]),"N/A")</f>
        <v>0.39031627444711103</v>
      </c>
      <c r="FW6" s="48">
        <f>IF(LEFT(tbl_Office_Multi[[#Headers],[4.5* w1]],3)*1&lt;=5,tbl_Office_Multi[[M star]:[M star]]-((LEFT(tbl_Office_Multi[[#Headers],[4.5* w1]],3)*1-IF(LEFT(tbl_Office_Multi[[#Headers],[4.5* w1]],3)*1=5,Office_C_W_R_star_rating_offset_at_5_stars,Office_C_W_R_star_rating_offset))/Office_C_W_Median_Rating-1)*(tbl_Office_Multi[[M star]:[M star]]-tbl_Office_Multi[[Alpha star]:[Alpha star]]),"N/A")</f>
        <v>0.5765976444444445</v>
      </c>
      <c r="FX6" s="48">
        <f>IF(LEFT(tbl_Office_Multi[[#Headers],[4.0* w1]],3)*1&lt;=5,tbl_Office_Multi[[M star]:[M star]]-((LEFT(tbl_Office_Multi[[#Headers],[4.0* w1]],3)*1-IF(LEFT(tbl_Office_Multi[[#Headers],[4.0* w1]],3)*1=5,Office_C_W_R_star_rating_offset_at_5_stars,Office_C_W_R_star_rating_offset))/Office_C_W_Median_Rating-1)*(tbl_Office_Multi[[M star]:[M star]]-tbl_Office_Multi[[Alpha star]:[Alpha star]]),"N/A")</f>
        <v>0.76287528888888889</v>
      </c>
      <c r="FY6" s="48">
        <f>IF(LEFT(tbl_Office_Multi[[#Headers],[3.5* w1]],3)*1&lt;=5,tbl_Office_Multi[[M star]:[M star]]-((LEFT(tbl_Office_Multi[[#Headers],[3.5* w1]],3)*1-IF(LEFT(tbl_Office_Multi[[#Headers],[3.5* w1]],3)*1=5,Office_C_W_R_star_rating_offset_at_5_stars,Office_C_W_R_star_rating_offset))/Office_C_W_Median_Rating-1)*(tbl_Office_Multi[[M star]:[M star]]-tbl_Office_Multi[[Alpha star]:[Alpha star]]),"N/A")</f>
        <v>0.94915293333333339</v>
      </c>
      <c r="FZ6" s="48">
        <f>IF(LEFT(tbl_Office_Multi[[#Headers],[3.0* w1]],3)*1&lt;=5,tbl_Office_Multi[[M star]:[M star]]-((LEFT(tbl_Office_Multi[[#Headers],[3.0* w1]],3)*1-IF(LEFT(tbl_Office_Multi[[#Headers],[3.0* w1]],3)*1=5,Office_C_W_R_star_rating_offset_at_5_stars,Office_C_W_R_star_rating_offset))/Office_C_W_Median_Rating-1)*(tbl_Office_Multi[[M star]:[M star]]-tbl_Office_Multi[[Alpha star]:[Alpha star]]),"N/A")</f>
        <v>1.1354305777777778</v>
      </c>
      <c r="GA6" s="48">
        <f>IF(LEFT(tbl_Office_Multi[[#Headers],[2.5* w1]],3)*1&lt;=5,tbl_Office_Multi[[M star]:[M star]]-((LEFT(tbl_Office_Multi[[#Headers],[2.5* w1]],3)*1-IF(LEFT(tbl_Office_Multi[[#Headers],[2.5* w1]],3)*1=5,Office_C_W_R_star_rating_offset_at_5_stars,Office_C_W_R_star_rating_offset))/Office_C_W_Median_Rating-1)*(tbl_Office_Multi[[M star]:[M star]]-tbl_Office_Multi[[Alpha star]:[Alpha star]]),"N/A")</f>
        <v>1.3217082222222223</v>
      </c>
      <c r="GB6" s="48">
        <f>IF(LEFT(tbl_Office_Multi[[#Headers],[2.0* w1]],3)*1&lt;=5,tbl_Office_Multi[[M star]:[M star]]-((LEFT(tbl_Office_Multi[[#Headers],[2.0* w1]],3)*1-IF(LEFT(tbl_Office_Multi[[#Headers],[2.0* w1]],3)*1=5,Office_C_W_R_star_rating_offset_at_5_stars,Office_C_W_R_star_rating_offset))/Office_C_W_Median_Rating-1)*(tbl_Office_Multi[[M star]:[M star]]-tbl_Office_Multi[[Alpha star]:[Alpha star]]),"N/A")</f>
        <v>1.5079858666666668</v>
      </c>
      <c r="GC6" s="48">
        <f>IF(LEFT(tbl_Office_Multi[[#Headers],[1.5* w1]],3)*1&lt;=5,tbl_Office_Multi[[M star]:[M star]]-((LEFT(tbl_Office_Multi[[#Headers],[1.5* w1]],3)*1-IF(LEFT(tbl_Office_Multi[[#Headers],[1.5* w1]],3)*1=5,Office_C_W_R_star_rating_offset_at_5_stars,Office_C_W_R_star_rating_offset))/Office_C_W_Median_Rating-1)*(tbl_Office_Multi[[M star]:[M star]]-tbl_Office_Multi[[Alpha star]:[Alpha star]]),"N/A")</f>
        <v>1.6942635111111111</v>
      </c>
      <c r="GD6" s="48">
        <f>IF(LEFT(tbl_Office_Multi[[#Headers],[1.0* w1]],3)*1&lt;=5,tbl_Office_Multi[[M star]:[M star]]-((LEFT(tbl_Office_Multi[[#Headers],[1.0* w1]],3)*1-IF(LEFT(tbl_Office_Multi[[#Headers],[1.0* w1]],3)*1=5,Office_C_W_R_star_rating_offset_at_5_stars,Office_C_W_R_star_rating_offset))/Office_C_W_Median_Rating-1)*(tbl_Office_Multi[[M star]:[M star]]-tbl_Office_Multi[[Alpha star]:[Alpha star]]),"N/A")</f>
        <v>1.8805411555555556</v>
      </c>
      <c r="GE6" s="48">
        <f>IF(LEFT(tbl_Office_Multi[[#Headers],[0.0* w1]],3)*1&lt;=5,tbl_Office_Multi[[M star]:[M star]]-((LEFT(tbl_Office_Multi[[#Headers],[0.0* w1]],3)*1-IF(LEFT(tbl_Office_Multi[[#Headers],[0.0* w1]],3)*1=5,Office_C_W_R_star_rating_offset_at_5_stars,Office_C_W_R_star_rating_offset))/Office_C_W_Median_Rating-1)*(tbl_Office_Multi[[M star]:[M star]]-tbl_Office_Multi[[Alpha star]:[Alpha star]]),"N/A")</f>
        <v>2.2530964444444446</v>
      </c>
      <c r="GF6" s="48" t="str">
        <f>IF(LEFT(tbl_Office_Multi[[#Headers],[6.0* w2]],3)*1&lt;=5,Office_C_W_M_star_Intercept+Office_C_W_Alpha_Star_Hrs_Coefficient*(tbl_Office_Multi[[Hrs]:[Hrs]]-Office_C_W_Hrs_Offset)-Office_C_W2_Hrs_Ratio*((LEFT(tbl_Office_Multi[[#Headers],[6.0* w2]],3)*1-IF(LEFT(tbl_Office_Multi[[#Headers],[6.0* w2]],3)*1=5,Office_C_W_R_star_rating_offset_at_5_stars,Office_C_W_R_star_rating_offset))/Office_C_W_Median_Rating-1),"N/A")</f>
        <v>N/A</v>
      </c>
      <c r="GG6" s="48" t="str">
        <f>IF(LEFT(tbl_Office_Multi[[#Headers],[5.5* w2]],3)*1&lt;=5,Office_C_W_M_star_Intercept+Office_C_W_Alpha_Star_Hrs_Coefficient*(tbl_Office_Multi[[Hrs]:[Hrs]]-Office_C_W_Hrs_Offset)-Office_C_W2_Hrs_Ratio*((LEFT(tbl_Office_Multi[[#Headers],[5.5* w2]],3)*1-IF(LEFT(tbl_Office_Multi[[#Headers],[5.5* w2]],3)*1=5,Office_C_W_R_star_rating_offset_at_5_stars,Office_C_W_R_star_rating_offset))/Office_C_W_Median_Rating-1),"N/A")</f>
        <v>N/A</v>
      </c>
      <c r="GH6" s="48">
        <f>IF(LEFT(tbl_Office_Multi[[#Headers],[5.0* w2]],3)*1&lt;=5,Office_C_W_M_star_Intercept+Office_C_W_Alpha_Star_Hrs_Coefficient*(tbl_Office_Multi[[Hrs]:[Hrs]]-Office_C_W_Hrs_Offset)-Office_C_W2_Hrs_Ratio*((LEFT(tbl_Office_Multi[[#Headers],[5.0* w2]],3)*1-IF(LEFT(tbl_Office_Multi[[#Headers],[5.0* w2]],3)*1=5,Office_C_W_R_star_rating_offset_at_5_stars,Office_C_W_R_star_rating_offset))/Office_C_W_Median_Rating-1),"N/A")</f>
        <v>0.39031871111111116</v>
      </c>
      <c r="GI6" s="48">
        <f>IF(LEFT(tbl_Office_Multi[[#Headers],[4.5* w2]],3)*1&lt;=5,Office_C_W_M_star_Intercept+Office_C_W_Alpha_Star_Hrs_Coefficient*(tbl_Office_Multi[[Hrs]:[Hrs]]-Office_C_W_Hrs_Offset)-Office_C_W2_Hrs_Ratio*((LEFT(tbl_Office_Multi[[#Headers],[4.5* w2]],3)*1-IF(LEFT(tbl_Office_Multi[[#Headers],[4.5* w2]],3)*1=5,Office_C_W_R_star_rating_offset_at_5_stars,Office_C_W_R_star_rating_offset))/Office_C_W_Median_Rating-1),"N/A")</f>
        <v>0.45476444444444453</v>
      </c>
      <c r="GJ6" s="48">
        <f>IF(LEFT(tbl_Office_Multi[[#Headers],[4.0* w2]],3)*1&lt;=5,Office_C_W_M_star_Intercept+Office_C_W_Alpha_Star_Hrs_Coefficient*(tbl_Office_Multi[[Hrs]:[Hrs]]-Office_C_W_Hrs_Offset)-Office_C_W2_Hrs_Ratio*((LEFT(tbl_Office_Multi[[#Headers],[4.0* w2]],3)*1-IF(LEFT(tbl_Office_Multi[[#Headers],[4.0* w2]],3)*1=5,Office_C_W_R_star_rating_offset_at_5_stars,Office_C_W_R_star_rating_offset))/Office_C_W_Median_Rating-1),"N/A")</f>
        <v>0.51920888888888894</v>
      </c>
      <c r="GK6" s="48">
        <f>IF(LEFT(tbl_Office_Multi[[#Headers],[3.5* w2]],3)*1&lt;=5,Office_C_W_M_star_Intercept+Office_C_W_Alpha_Star_Hrs_Coefficient*(tbl_Office_Multi[[Hrs]:[Hrs]]-Office_C_W_Hrs_Offset)-Office_C_W2_Hrs_Ratio*((LEFT(tbl_Office_Multi[[#Headers],[3.5* w2]],3)*1-IF(LEFT(tbl_Office_Multi[[#Headers],[3.5* w2]],3)*1=5,Office_C_W_R_star_rating_offset_at_5_stars,Office_C_W_R_star_rating_offset))/Office_C_W_Median_Rating-1),"N/A")</f>
        <v>0.58365333333333336</v>
      </c>
      <c r="GL6" s="48">
        <f>IF(LEFT(tbl_Office_Multi[[#Headers],[3.0* w2]],3)*1&lt;=5,Office_C_W_M_star_Intercept+Office_C_W_Alpha_Star_Hrs_Coefficient*(tbl_Office_Multi[[Hrs]:[Hrs]]-Office_C_W_Hrs_Offset)-Office_C_W2_Hrs_Ratio*((LEFT(tbl_Office_Multi[[#Headers],[3.0* w2]],3)*1-IF(LEFT(tbl_Office_Multi[[#Headers],[3.0* w2]],3)*1=5,Office_C_W_R_star_rating_offset_at_5_stars,Office_C_W_R_star_rating_offset))/Office_C_W_Median_Rating-1),"N/A")</f>
        <v>0.64809777777777777</v>
      </c>
      <c r="GM6" s="48">
        <f>IF(LEFT(tbl_Office_Multi[[#Headers],[2.5* w2]],3)*1&lt;=5,Office_C_W_M_star_Intercept+Office_C_W_Alpha_Star_Hrs_Coefficient*(tbl_Office_Multi[[Hrs]:[Hrs]]-Office_C_W_Hrs_Offset)-Office_C_W2_Hrs_Ratio*((LEFT(tbl_Office_Multi[[#Headers],[2.5* w2]],3)*1-IF(LEFT(tbl_Office_Multi[[#Headers],[2.5* w2]],3)*1=5,Office_C_W_R_star_rating_offset_at_5_stars,Office_C_W_R_star_rating_offset))/Office_C_W_Median_Rating-1),"N/A")</f>
        <v>0.7125422222222223</v>
      </c>
      <c r="GN6" s="48">
        <f>IF(LEFT(tbl_Office_Multi[[#Headers],[2.0* w2]],3)*1&lt;=5,Office_C_W_M_star_Intercept+Office_C_W_Alpha_Star_Hrs_Coefficient*(tbl_Office_Multi[[Hrs]:[Hrs]]-Office_C_W_Hrs_Offset)-Office_C_W2_Hrs_Ratio*((LEFT(tbl_Office_Multi[[#Headers],[2.0* w2]],3)*1-IF(LEFT(tbl_Office_Multi[[#Headers],[2.0* w2]],3)*1=5,Office_C_W_R_star_rating_offset_at_5_stars,Office_C_W_R_star_rating_offset))/Office_C_W_Median_Rating-1),"N/A")</f>
        <v>0.77698666666666671</v>
      </c>
      <c r="GO6" s="48">
        <f>IF(LEFT(tbl_Office_Multi[[#Headers],[1.5* w2]],3)*1&lt;=5,Office_C_W_M_star_Intercept+Office_C_W_Alpha_Star_Hrs_Coefficient*(tbl_Office_Multi[[Hrs]:[Hrs]]-Office_C_W_Hrs_Offset)-Office_C_W2_Hrs_Ratio*((LEFT(tbl_Office_Multi[[#Headers],[1.5* w2]],3)*1-IF(LEFT(tbl_Office_Multi[[#Headers],[1.5* w2]],3)*1=5,Office_C_W_R_star_rating_offset_at_5_stars,Office_C_W_R_star_rating_offset))/Office_C_W_Median_Rating-1),"N/A")</f>
        <v>0.84143111111111113</v>
      </c>
      <c r="GP6" s="48">
        <f>IF(LEFT(tbl_Office_Multi[[#Headers],[1.0* w2]],3)*1&lt;=5,Office_C_W_M_star_Intercept+Office_C_W_Alpha_Star_Hrs_Coefficient*(tbl_Office_Multi[[Hrs]:[Hrs]]-Office_C_W_Hrs_Offset)-Office_C_W2_Hrs_Ratio*((LEFT(tbl_Office_Multi[[#Headers],[1.0* w2]],3)*1-IF(LEFT(tbl_Office_Multi[[#Headers],[1.0* w2]],3)*1=5,Office_C_W_R_star_rating_offset_at_5_stars,Office_C_W_R_star_rating_offset))/Office_C_W_Median_Rating-1),"N/A")</f>
        <v>0.90587555555555554</v>
      </c>
      <c r="GQ6" s="48">
        <f>IF(LEFT(tbl_Office_Multi[[#Headers],[0.0* w2]],3)*1&lt;=5,Office_C_W_M_star_Intercept+Office_C_W_Alpha_Star_Hrs_Coefficient*(tbl_Office_Multi[[Hrs]:[Hrs]]-Office_C_W_Hrs_Offset)-Office_C_W2_Hrs_Ratio*((LEFT(tbl_Office_Multi[[#Headers],[0.0* w2]],3)*1-IF(LEFT(tbl_Office_Multi[[#Headers],[0.0* w2]],3)*1=5,Office_C_W_R_star_rating_offset_at_5_stars,Office_C_W_R_star_rating_offset))/Office_C_W_Median_Rating-1),"N/A")</f>
        <v>1.0347644444444444</v>
      </c>
      <c r="GR6" s="48">
        <f>IF(LEFT(tbl_Office_Multi[[#Headers],[6.0* Max Water (kL/m²)]],3)*1&lt;=5,IF(tbl_Office_Multi[[#This Row],[6.0* w1]]&gt;=tbl_Office_Multi[[Alpha star]:[Alpha star]],tbl_Office_Multi[[#This Row],[6.0* w1]],tbl_Office_Multi[[#This Row],[6.0* w2]]),
((7-LEFT(tbl_Office_Multi[[#Headers],[6.0* Max Water (kL/m²)]],3)*1)/2)*tbl_Office_Multi[[wat_5stars]:[wat_5stars]])</f>
        <v>0.19516000000000003</v>
      </c>
      <c r="GS6" s="48">
        <f>IF(LEFT(tbl_Office_Multi[[#Headers],[5.5* Max Water (kL/m²)]],3)*1&lt;=5,IF(tbl_Office_Multi[[#This Row],[5.5* w1]]&gt;=tbl_Office_Multi[[Alpha star]:[Alpha star]],tbl_Office_Multi[[#This Row],[5.5* w1]],tbl_Office_Multi[[#This Row],[5.5* w2]]),
((7-LEFT(tbl_Office_Multi[[#Headers],[5.5* Max Water (kL/m²)]],3)*1)/2)*tbl_Office_Multi[[wat_5stars]:[wat_5stars]])</f>
        <v>0.29274000000000006</v>
      </c>
      <c r="GT6" s="48">
        <f>IF(LEFT(tbl_Office_Multi[[#Headers],[5.0* Max Water (kL/m²)]],3)*1&lt;=5,IF(tbl_Office_Multi[[#This Row],[5.0* w1]]&gt;=tbl_Office_Multi[[Alpha star]:[Alpha star]],tbl_Office_Multi[[#This Row],[5.0* w1]],tbl_Office_Multi[[#This Row],[5.0* w2]]),
((7-LEFT(tbl_Office_Multi[[#Headers],[5.0* Max Water (kL/m²)]],3)*1)/2)*tbl_Office_Multi[[wat_5stars]:[wat_5stars]])</f>
        <v>0.39031871111111116</v>
      </c>
      <c r="GU6" s="48">
        <f>IF(LEFT(tbl_Office_Multi[[#Headers],[4.5* Max Water (kL/m²)]],3)*1&lt;=5,IF(tbl_Office_Multi[[#This Row],[4.5* w1]]&gt;=tbl_Office_Multi[[Alpha star]:[Alpha star]],tbl_Office_Multi[[#This Row],[4.5* w1]],tbl_Office_Multi[[#This Row],[4.5* w2]]),
((7-LEFT(tbl_Office_Multi[[#Headers],[4.5* Max Water (kL/m²)]],3)*1)/2)*tbl_Office_Multi[[wat_5stars]:[wat_5stars]])</f>
        <v>0.5765976444444445</v>
      </c>
      <c r="GV6" s="48">
        <f>IF(LEFT(tbl_Office_Multi[[#Headers],[4.0* Max Water (kL/m²)]],3)*1&lt;=5,IF(tbl_Office_Multi[[#This Row],[4.0* w1]]&gt;=tbl_Office_Multi[[Alpha star]:[Alpha star]],tbl_Office_Multi[[#This Row],[4.0* w1]],tbl_Office_Multi[[#This Row],[4.0* w2]]),
((7-LEFT(tbl_Office_Multi[[#Headers],[4.0* Max Water (kL/m²)]],3)*1)/2)*tbl_Office_Multi[[wat_5stars]:[wat_5stars]])</f>
        <v>0.76287528888888889</v>
      </c>
      <c r="GW6" s="48">
        <f>IF(LEFT(tbl_Office_Multi[[#Headers],[3.5* Max Water (kL/m²)]],3)*1&lt;=5,IF(tbl_Office_Multi[[#This Row],[3.5* w1]]&gt;=tbl_Office_Multi[[Alpha star]:[Alpha star]],tbl_Office_Multi[[#This Row],[3.5* w1]],tbl_Office_Multi[[#This Row],[3.5* w2]]),
((7-LEFT(tbl_Office_Multi[[#Headers],[3.5* Max Water (kL/m²)]],3)*1)/2)*tbl_Office_Multi[[wat_5stars]:[wat_5stars]])</f>
        <v>0.94915293333333339</v>
      </c>
      <c r="GX6" s="48">
        <f>IF(LEFT(tbl_Office_Multi[[#Headers],[3.0* Max Water (kL/m²)]],3)*1&lt;=5,IF(tbl_Office_Multi[[#This Row],[3.0* w1]]&gt;=tbl_Office_Multi[[Alpha star]:[Alpha star]],tbl_Office_Multi[[#This Row],[3.0* w1]],tbl_Office_Multi[[#This Row],[3.0* w2]]),
((7-LEFT(tbl_Office_Multi[[#Headers],[3.0* Max Water (kL/m²)]],3)*1)/2)*tbl_Office_Multi[[wat_5stars]:[wat_5stars]])</f>
        <v>1.1354305777777778</v>
      </c>
      <c r="GY6" s="48">
        <f>IF(LEFT(tbl_Office_Multi[[#Headers],[2.5* Max Water (kL/m²)]],3)*1&lt;=5,IF(tbl_Office_Multi[[#This Row],[2.5* w1]]&gt;=tbl_Office_Multi[[Alpha star]:[Alpha star]],tbl_Office_Multi[[#This Row],[2.5* w1]],tbl_Office_Multi[[#This Row],[2.5* w2]]),
((7-LEFT(tbl_Office_Multi[[#Headers],[2.5* Max Water (kL/m²)]],3)*1)/2)*tbl_Office_Multi[[wat_5stars]:[wat_5stars]])</f>
        <v>1.3217082222222223</v>
      </c>
      <c r="GZ6" s="48">
        <f>IF(LEFT(tbl_Office_Multi[[#Headers],[2.0* Max Water (kL/m²)]],3)*1&lt;=5,IF(tbl_Office_Multi[[#This Row],[2.0* w1]]&gt;=tbl_Office_Multi[[Alpha star]:[Alpha star]],tbl_Office_Multi[[#This Row],[2.0* w1]],tbl_Office_Multi[[#This Row],[2.0* w2]]),
((7-LEFT(tbl_Office_Multi[[#Headers],[2.0* Max Water (kL/m²)]],3)*1)/2)*tbl_Office_Multi[[wat_5stars]:[wat_5stars]])</f>
        <v>1.5079858666666668</v>
      </c>
      <c r="HA6" s="48">
        <f>IF(LEFT(tbl_Office_Multi[[#Headers],[1.5* Max Water (kL/m²)]],3)*1&lt;=5,IF(tbl_Office_Multi[[#This Row],[1.5* w1]]&gt;=tbl_Office_Multi[[Alpha star]:[Alpha star]],tbl_Office_Multi[[#This Row],[1.5* w1]],tbl_Office_Multi[[#This Row],[1.5* w2]]),
((7-LEFT(tbl_Office_Multi[[#Headers],[1.5* Max Water (kL/m²)]],3)*1)/2)*tbl_Office_Multi[[wat_5stars]:[wat_5stars]])</f>
        <v>1.6942635111111111</v>
      </c>
      <c r="HB6" s="48">
        <f>IF(LEFT(tbl_Office_Multi[[#Headers],[1.0* Max Water (kL/m²)]],3)*1&lt;=5,IF(tbl_Office_Multi[[#This Row],[1.0* w1]]&gt;=tbl_Office_Multi[[Alpha star]:[Alpha star]],tbl_Office_Multi[[#This Row],[1.0* w1]],tbl_Office_Multi[[#This Row],[1.0* w2]]),
((7-LEFT(tbl_Office_Multi[[#Headers],[1.0* Max Water (kL/m²)]],3)*1)/2)*tbl_Office_Multi[[wat_5stars]:[wat_5stars]])</f>
        <v>1.8805411555555556</v>
      </c>
      <c r="HC6" s="48">
        <f>IF(LEFT(tbl_Office_Multi[[#Headers],[0.0* Max Water (kL/m²)]],3)*1&lt;=5,IF(tbl_Office_Multi[[#This Row],[0.0* w1]]&gt;=tbl_Office_Multi[[Alpha star]:[Alpha star]],tbl_Office_Multi[[#This Row],[0.0* w1]],tbl_Office_Multi[[#This Row],[0.0* w2]]),
((7-LEFT(tbl_Office_Multi[[#Headers],[0.0* Max Water (kL/m²)]],3)*1)/2)*tbl_Office_Multi[[wat_5stars]:[wat_5stars]])</f>
        <v>2.2530964444444446</v>
      </c>
      <c r="HD6" s="44">
        <f>ROUNDDOWN(tbl_Office_Multi[[#This Row],[6.0* Max Water (kL/m²)]]*tbl_Office_Multi[[NLA]:[NLA]],0)</f>
        <v>4191</v>
      </c>
      <c r="HE6" s="44">
        <f>ROUNDDOWN(tbl_Office_Multi[[#This Row],[5.5* Max Water (kL/m²)]]*tbl_Office_Multi[[NLA]:[NLA]],0)</f>
        <v>6286</v>
      </c>
      <c r="HF6" s="44">
        <f>ROUNDDOWN(tbl_Office_Multi[[#This Row],[5.0* Max Water (kL/m²)]]*tbl_Office_Multi[[NLA]:[NLA]],0)</f>
        <v>8382</v>
      </c>
      <c r="HG6" s="44">
        <f>ROUNDDOWN(tbl_Office_Multi[[#This Row],[4.5* Max Water (kL/m²)]]*tbl_Office_Multi[[NLA]:[NLA]],0)</f>
        <v>12382</v>
      </c>
      <c r="HH6" s="44">
        <f>ROUNDDOWN(tbl_Office_Multi[[#This Row],[4.0* Max Water (kL/m²)]]*tbl_Office_Multi[[NLA]:[NLA]],0)</f>
        <v>16382</v>
      </c>
      <c r="HI6" s="44">
        <f>ROUNDDOWN(tbl_Office_Multi[[#This Row],[3.5* Max Water (kL/m²)]]*tbl_Office_Multi[[NLA]:[NLA]],0)</f>
        <v>20383</v>
      </c>
      <c r="HJ6" s="44">
        <f>ROUNDDOWN(tbl_Office_Multi[[#This Row],[3.0* Max Water (kL/m²)]]*tbl_Office_Multi[[NLA]:[NLA]],0)</f>
        <v>24383</v>
      </c>
      <c r="HK6" s="44">
        <f>ROUNDDOWN(tbl_Office_Multi[[#This Row],[2.5* Max Water (kL/m²)]]*tbl_Office_Multi[[NLA]:[NLA]],0)</f>
        <v>28383</v>
      </c>
      <c r="HL6" s="44">
        <f>ROUNDDOWN(tbl_Office_Multi[[#This Row],[2.0* Max Water (kL/m²)]]*tbl_Office_Multi[[NLA]:[NLA]],0)</f>
        <v>32384</v>
      </c>
      <c r="HM6" s="44">
        <f>ROUNDDOWN(tbl_Office_Multi[[#This Row],[1.5* Max Water (kL/m²)]]*tbl_Office_Multi[[NLA]:[NLA]],0)</f>
        <v>36384</v>
      </c>
      <c r="HN6" s="44">
        <f>ROUNDDOWN(tbl_Office_Multi[[#This Row],[1.0* Max Water (kL/m²)]]*tbl_Office_Multi[[NLA]:[NLA]],0)</f>
        <v>40384</v>
      </c>
      <c r="HO6" s="44">
        <f>ROUNDDOWN(tbl_Office_Multi[[#This Row],[0.0* Max Water (kL/m²)]]*tbl_Office_Multi[[NLA]:[NLA]],0)</f>
        <v>48385</v>
      </c>
      <c r="HP6" s="44">
        <f>SUM(tbl_Office_Multi[[#This Row],[Electricity]]*(1-tbl_Office_Multi[[#This Row],[GP]])*tbl_Office_Multi[[#This Row],[SGEe Scopes 1,2&amp;3]],
tbl_Office_Multi[[#This Row],[Gas]]*tbl_Office_Multi[[#This Row],[SGEg Scopes 1,2&amp;3]],
tbl_Office_Multi[[#This Row],[Diesel]]*tbl_Office_Multi[[#This Row],[SGEd Scopes 1,2&amp;3]])</f>
        <v>456993.51340000005</v>
      </c>
      <c r="HQ6" s="44">
        <f>SUM(tbl_Office_Multi[[#This Row],[Electricity]]*(1-tbl_Office_Multi[[#This Row],[GP]])*tbl_Office_Multi[[#This Row],[SGEe Scopes 1&amp;2]],
tbl_Office_Multi[[#This Row],[Gas]]*tbl_Office_Multi[[#This Row],[SGEg Scopes 1&amp;2]],
tbl_Office_Multi[[#This Row],[Diesel]]*tbl_Office_Multi[[#This Row],[SGEd Scopes 1&amp;2]])</f>
        <v>409566.44972000003</v>
      </c>
      <c r="HR6" s="45">
        <f>MIN(ROUNDUP(tbl_Office_Multi[[#This Row],[Renergy (with GP)]]*2,0)/2,6)</f>
        <v>6</v>
      </c>
      <c r="HS6" s="45">
        <f>tbl_Office_Multi[[#This Row],[Renergy (with GP)]]+Office_C_FWD_Star_Band_Residual_Adjustment</f>
        <v>6.5538000602688333</v>
      </c>
      <c r="HT6" s="45" t="str">
        <f>IF(tbl_Office_Multi[[#This Row],[Energy Star Decimal (with GP)]]&gt;5,"N/A",tbl_Office_Multi[[#This Row],[NGE (with GP)]])</f>
        <v>N/A</v>
      </c>
      <c r="HU6" s="45">
        <f>MIN(ROUNDUP(tbl_Office_Multi[[#This Row],[REnergy (no GP)]]*2,0)/2,6)</f>
        <v>6</v>
      </c>
      <c r="HV6" s="45">
        <f>tbl_Office_Multi[[#This Row],[REnergy (no GP)]]+Office_C_FWD_Star_Band_Residual_Adjustment</f>
        <v>6.5538000602688333</v>
      </c>
      <c r="HW6" s="45" t="str">
        <f>IF(tbl_Office_Multi[[#This Row],[Energy Star Decimal (no GP)]]&gt;5,"N/A",tbl_Office_Multi[[#This Row],[NGE (no GP)]])</f>
        <v>N/A</v>
      </c>
      <c r="HX6" s="45">
        <f>IF(tbl_Office_Multi[[#This Row],[A]]+tbl_Office_Multi[[#This Row],[B]]*tbl_Office_Multi[[#This Row],[NGE (with GP)]]&gt;5,tbl_Office_Multi[[#This Row],[AEnergybeyond5stars]]+tbl_Office_Multi[[#This Row],[BEnergybeyond5stars gasMJ]]*tbl_Office_Multi[[#This Row],[GE (with GP)]],tbl_Office_Multi[[#This Row],[A]]+tbl_Office_Multi[[#This Row],[B]]*tbl_Office_Multi[[#This Row],[NGE (with GP)]])</f>
        <v>6.0538000602688333</v>
      </c>
      <c r="HY6" s="45">
        <f>IF(tbl_Office_Multi[[#This Row],[A]]+tbl_Office_Multi[[#This Row],[B]]*tbl_Office_Multi[[#This Row],[NGE (no GP)]]&gt;5,tbl_Office_Multi[[#This Row],[AEnergybeyond5stars]]+tbl_Office_Multi[[#This Row],[BEnergybeyond5stars gasMJ]]*tbl_Office_Multi[[#This Row],[GE (no GP)]],tbl_Office_Multi[[#This Row],[A]]+tbl_Office_Multi[[#This Row],[B]]*tbl_Office_Multi[[#This Row],[NGE (no GP)]])</f>
        <v>6.0538000602688333</v>
      </c>
      <c r="HZ6" s="45">
        <f>SUM(tbl_Office_Multi[[#This Row],[Electricity]]*(1-tbl_Office_Multi[[#This Row],[GP]])*tbl_Office_Multi[[#This Row],[SGEe]],
tbl_Office_Multi[[#This Row],[Gas]]*tbl_Office_Multi[[#This Row],[SGEg]],
tbl_Office_Multi[[#This Row],[Diesel]]*tbl_Office_Multi[[#This Row],[SGEd]])
/tbl_Office_Multi[[#This Row],[NLA]]</f>
        <v>22.056832024065084</v>
      </c>
      <c r="IA6" s="45">
        <f>SUM(tbl_Office_Multi[[#This Row],[Electricity]]*tbl_Office_Multi[[#This Row],[SGEe]],
tbl_Office_Multi[[#This Row],[Gas]]*tbl_Office_Multi[[#This Row],[SGEg]],
tbl_Office_Multi[[#This Row],[Diesel]]*tbl_Office_Multi[[#This Row],[SGEd]])
/tbl_Office_Multi[[#This Row],[NLA]]</f>
        <v>22.056832024065084</v>
      </c>
      <c r="IB6" s="45">
        <f>IF(tbl_Office_Multi[[#This Row],[Rating Type]]="Base Building",tbl_Office_Multi[[#This Row],[f_basebuilding]]*(tbl_Office_Multi[[#This Row],[GE (with GP)]]+tbl_Office_Multi[[#This Row],[GEcorrclimate]]),
IF(tbl_Office_Multi[[#This Row],[Rating Type]]="Tenancy",tbl_Office_Multi[[#This Row],[f_tenancy]]*(tbl_Office_Multi[[#This Row],[GE (with GP)]]+tbl_Office_Multi[[#This Row],[GEcorrtenancy]]),
IF(tbl_Office_Multi[[#This Row],[Rating Type]]="Whole Building",tbl_Office_Multi[[#This Row],[GE (with GP)]]*((tbl_Office_Multi[[#This Row],[f_basebuilding]]+tbl_Office_Multi[[#This Row],[f_tenancy]])/2)+tbl_Office_Multi[[#This Row],[f_tenancy]]*tbl_Office_Multi[[#This Row],[GEcorrtenancy]]+tbl_Office_Multi[[#This Row],[f_basebuilding]]*tbl_Office_Multi[[#This Row],[GEcorrclimate]],
0)))</f>
        <v>15.739977588674243</v>
      </c>
      <c r="IC6" s="45">
        <f>IF(tbl_Office_Multi[[#This Row],[Rating Type]]="Base Building",tbl_Office_Multi[[#This Row],[f_basebuilding]]*(tbl_Office_Multi[[#This Row],[GE (no GP)]]+tbl_Office_Multi[[#This Row],[GEcorrclimate]]),
IF(tbl_Office_Multi[[#This Row],[Rating Type]]="Tenancy",tbl_Office_Multi[[#This Row],[f_tenancy]]*(tbl_Office_Multi[[#This Row],[GE (no GP)]]+tbl_Office_Multi[[#This Row],[GEcorrtenancy]]),
IF(tbl_Office_Multi[[#This Row],[Rating Type]]="Whole Building",tbl_Office_Multi[[#This Row],[GE (no GP)]]*((tbl_Office_Multi[[#This Row],[f_basebuilding]]+tbl_Office_Multi[[#This Row],[f_tenancy]])/2)+tbl_Office_Multi[[#This Row],[f_tenancy]]*tbl_Office_Multi[[#This Row],[GEcorrtenancy]]+tbl_Office_Multi[[#This Row],[f_basebuilding]]*tbl_Office_Multi[[#This Row],[GEcorrclimate]],
0)))</f>
        <v>15.739977588674243</v>
      </c>
      <c r="ID6" s="45">
        <f>MIN(ROUNDUP(tbl_Office_Multi[[#This Row],[Rwater (with recyc)]]*2,0)/2,6)</f>
        <v>5.5</v>
      </c>
      <c r="IE6" s="45">
        <f>tbl_Office_Multi[[#This Row],[Rwater (with recyc)]]+Office_C_FWD_Star_Band_Residual_Adjustment</f>
        <v>5.8841586616876151</v>
      </c>
      <c r="IF6" s="45">
        <f>MIN(ROUNDUP(tbl_Office_Multi[[#This Row],[Rwater (no recyc)]]*2,0)/2,6)</f>
        <v>5</v>
      </c>
      <c r="IG6" s="45">
        <f>tbl_Office_Multi[[#This Row],[Rwater (no recyc)]]+Office_C_FWD_Star_Band_Residual_Adjustment</f>
        <v>5.2121321777795915</v>
      </c>
      <c r="IH6" s="45">
        <f>tbl_Office_Multi[[#This Row],[Water]]*(1-tbl_Office_Multi[[#This Row],[RW]])/tbl_Office_Multi[[#This Row],[NLA]]</f>
        <v>0.21778711158504502</v>
      </c>
      <c r="II6" s="45">
        <f>tbl_Office_Multi[[#This Row],[Water]]/tbl_Office_Multi[[#This Row],[NLA]]</f>
        <v>0.36297851930840835</v>
      </c>
      <c r="IJ6" s="45">
        <f>IF(tbl_Office_Multi[[#This Row],[Rwater0to5 (with recyc)]]&gt;5,tbl_Office_Multi[[#This Row],[AWaterbeyond5stars]]+tbl_Office_Multi[[#This Row],[BWaterbeyond5stars]]*tbl_Office_Multi[[#This Row],[w (with recyc)]],tbl_Office_Multi[[#This Row],[Rwater0to5 (with recyc)]])</f>
        <v>5.3841586616876151</v>
      </c>
      <c r="IK6" s="45">
        <f>IF(tbl_Office_Multi[[#This Row],[Rwater0to5 (no recyc)]]&gt;5,tbl_Office_Multi[[#This Row],[AWaterbeyond5stars]]+tbl_Office_Multi[[#This Row],[BWaterbeyond5stars]]*tbl_Office_Multi[[#This Row],[w (no recyc)]],tbl_Office_Multi[[#This Row],[Rwater0to5 (no recyc)]])</f>
        <v>4.7121321777795915</v>
      </c>
      <c r="IL6" s="45">
        <f>IF(tbl_Office_Multi[[#This Row],[w (with recyc)]]&gt;=tbl_Office_Multi[[#This Row],[Alpha star]],2.25*((tbl_Office_Multi[[#This Row],[M star]]-tbl_Office_Multi[[#This Row],[w (with recyc)]])/(tbl_Office_Multi[[#This Row],[M star]]-tbl_Office_Multi[[#This Row],[Alpha star]])+1),2.25*((0.64+0.0016*(tbl_Office_Multi[[#This Row],[Hrs]]-55)-tbl_Office_Multi[[#This Row],[w (with recyc)]])/0.29+1))</f>
        <v>5.8386172377022367</v>
      </c>
      <c r="IM6" s="45">
        <f>IF(tbl_Office_Multi[[#This Row],[w (no recyc)]]&gt;=tbl_Office_Multi[[#This Row],[Alpha star]],2.25*((tbl_Office_Multi[[#This Row],[M star]]-tbl_Office_Multi[[#This Row],[w (no recyc)]])/(tbl_Office_Multi[[#This Row],[M star]]-tbl_Office_Multi[[#This Row],[Alpha star]])+1),2.25*((0.64+0.0016*(tbl_Office_Multi[[#This Row],[Hrs]]-55)-tbl_Office_Multi[[#This Row],[w (no recyc)]])/0.29+1))</f>
        <v>4.7121321777795915</v>
      </c>
    </row>
  </sheetData>
  <sheetProtection selectLockedCells="1"/>
  <phoneticPr fontId="45" type="noConversion"/>
  <dataValidations count="2">
    <dataValidation type="decimal" allowBlank="1" showInputMessage="1" showErrorMessage="1" sqref="P65113:P65114 P130649:P130650 P196185:P196186 P261721:P261722 P327257:P327258 P392793:P392794 P458329:P458330 P523865:P523866 P589401:P589402 P654937:P654938 P720473:P720474 P786009:P786010 P851545:P851546 P917081:P917082 P982617:P982618" xr:uid="{FC979C66-93CC-4772-A84B-CAE5306F523D}">
      <formula1>0</formula1>
      <formula2>6</formula2>
    </dataValidation>
    <dataValidation type="list" allowBlank="1" showInputMessage="1" showErrorMessage="1" sqref="C4:C6" xr:uid="{24DDB5F7-37CE-43BB-9B09-4AC782C0FD26}">
      <formula1>List_Office_Rating_Type</formula1>
    </dataValidation>
  </dataValidations>
  <pageMargins left="0.42" right="0.44" top="0.56000000000000005" bottom="0.6" header="0.34" footer="0.4"/>
  <pageSetup paperSize="9" orientation="portrait" blackAndWhite="1" r:id="rId1"/>
  <headerFooter alignWithMargins="0">
    <oddFooter>&amp;R&amp;D</oddFooter>
  </headerFooter>
  <ignoredErrors>
    <ignoredError sqref="CN4:CY4 AJ4:AL4" calculatedColumn="1"/>
    <ignoredError sqref="W4:AB4 C4:J4" unlockedFormula="1"/>
  </ignoredErrors>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ECFF2-E210-4427-9BD5-AE9434E67B8F}">
  <sheetPr codeName="Sheet1">
    <tabColor rgb="FF8AD1F3"/>
  </sheetPr>
  <dimension ref="A1:O98"/>
  <sheetViews>
    <sheetView showGridLines="0" zoomScale="80" zoomScaleNormal="80" workbookViewId="0">
      <selection activeCell="E12" sqref="E12"/>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3" style="1" customWidth="1"/>
    <col min="8" max="8" width="2.28515625" style="1" customWidth="1"/>
    <col min="9" max="9" width="20.5703125" style="1" customWidth="1"/>
    <col min="10" max="10" width="9.28515625" style="1"/>
    <col min="11" max="11" width="11.7109375" style="1" bestFit="1" customWidth="1"/>
    <col min="12" max="12" width="9.28515625" style="1"/>
    <col min="13" max="13" width="15" style="1" customWidth="1"/>
    <col min="14" max="16384" width="9.28515625" style="1"/>
  </cols>
  <sheetData>
    <row r="1" spans="1:11" ht="65.25" customHeight="1"/>
    <row r="2" spans="1:11" ht="15" customHeight="1">
      <c r="B2" s="2"/>
      <c r="C2" s="2"/>
      <c r="D2" s="2"/>
      <c r="E2" s="2"/>
      <c r="F2" s="2"/>
      <c r="G2" s="2"/>
      <c r="H2" s="2"/>
      <c r="I2" s="2"/>
    </row>
    <row r="3" spans="1:11" ht="59.25" customHeight="1">
      <c r="B3" s="3"/>
      <c r="C3" s="4"/>
      <c r="D3" s="4"/>
      <c r="E3" s="155"/>
      <c r="F3" s="155" t="s">
        <v>16</v>
      </c>
      <c r="G3" s="846" t="s">
        <v>17</v>
      </c>
      <c r="H3" s="846"/>
      <c r="I3" s="846"/>
    </row>
    <row r="4" spans="1:11" ht="81" customHeight="1">
      <c r="B4" s="845" t="s">
        <v>456</v>
      </c>
      <c r="C4" s="845"/>
      <c r="D4" s="845"/>
      <c r="E4" s="845"/>
      <c r="F4" s="845"/>
      <c r="G4" s="845"/>
      <c r="H4" s="845"/>
      <c r="I4" s="845"/>
    </row>
    <row r="5" spans="1:11" ht="44.25" customHeight="1">
      <c r="A5" s="5"/>
      <c r="B5" s="52" t="s">
        <v>3</v>
      </c>
      <c r="C5" s="53" t="str">
        <f>'Read Me'!$D$5</f>
        <v>V26</v>
      </c>
      <c r="D5" s="53"/>
      <c r="E5" s="52" t="s">
        <v>5</v>
      </c>
      <c r="F5" s="54">
        <f>'Read Me'!$F$5</f>
        <v>45254</v>
      </c>
      <c r="G5" s="55"/>
      <c r="J5" s="322"/>
      <c r="K5" s="322"/>
    </row>
    <row r="7" spans="1:11" ht="101.25" customHeight="1">
      <c r="B7" s="847" t="s">
        <v>457</v>
      </c>
      <c r="C7" s="847"/>
      <c r="D7" s="847"/>
      <c r="E7" s="847"/>
      <c r="F7" s="847"/>
      <c r="G7" s="847"/>
      <c r="H7" s="847"/>
      <c r="I7" s="847"/>
    </row>
    <row r="8" spans="1:11" ht="10.5" customHeight="1">
      <c r="B8" s="57"/>
      <c r="C8" s="55"/>
      <c r="D8" s="55"/>
      <c r="E8" s="55"/>
      <c r="F8" s="55"/>
      <c r="G8" s="55"/>
      <c r="H8" s="55"/>
    </row>
    <row r="9" spans="1:11" ht="10.5" customHeight="1">
      <c r="B9" s="57"/>
      <c r="C9" s="55"/>
      <c r="D9" s="55"/>
      <c r="E9" s="55"/>
      <c r="F9" s="55"/>
      <c r="G9" s="55"/>
      <c r="H9" s="55"/>
    </row>
    <row r="10" spans="1:11" ht="17.25" customHeight="1">
      <c r="B10" s="56" t="s">
        <v>22</v>
      </c>
      <c r="C10" s="55"/>
      <c r="D10" s="55"/>
      <c r="E10" s="55"/>
      <c r="F10" s="55"/>
      <c r="G10" s="55"/>
      <c r="H10" s="55"/>
    </row>
    <row r="11" spans="1:11" ht="10.5" customHeight="1">
      <c r="B11" s="57"/>
      <c r="C11" s="55"/>
      <c r="D11" s="55"/>
      <c r="E11" s="55"/>
      <c r="F11" s="55"/>
      <c r="G11" s="55"/>
      <c r="H11" s="55"/>
    </row>
    <row r="12" spans="1:11" s="22" customFormat="1" ht="30" customHeight="1">
      <c r="B12" s="24"/>
      <c r="C12" s="23"/>
      <c r="D12" s="23"/>
      <c r="E12" s="74"/>
      <c r="F12" s="51" t="s">
        <v>23</v>
      </c>
      <c r="G12" s="23"/>
      <c r="H12" s="23"/>
      <c r="I12" s="23"/>
      <c r="J12" s="23"/>
      <c r="K12" s="23"/>
    </row>
    <row r="13" spans="1:11" s="22" customFormat="1" ht="17.25" customHeight="1">
      <c r="B13" s="25" t="str">
        <f>IF(MOD(Apartment_Target_Energy*10,1)/10&lt;=0,"","ERROR: Energy Rating must be in 0.1 star increment")</f>
        <v/>
      </c>
      <c r="C13" s="23"/>
      <c r="D13" s="23"/>
      <c r="E13" s="26"/>
      <c r="F13" s="23"/>
      <c r="G13" s="23"/>
      <c r="H13" s="23"/>
    </row>
    <row r="14" spans="1:11" s="22" customFormat="1" ht="30" customHeight="1">
      <c r="B14" s="24"/>
      <c r="C14" s="24"/>
      <c r="D14" s="24"/>
      <c r="E14" s="74"/>
      <c r="F14" s="51" t="s">
        <v>23</v>
      </c>
      <c r="G14" s="24"/>
      <c r="H14" s="24"/>
    </row>
    <row r="15" spans="1:11" ht="13.5" customHeight="1">
      <c r="B15" s="25" t="str">
        <f>IF(MOD(Apartment_Target_Water*10,1)/10&lt;=0,"","ERROR: Water Rating must be in 0.1 star increment")</f>
        <v/>
      </c>
      <c r="C15" s="6"/>
      <c r="D15" s="6"/>
      <c r="E15" s="7"/>
      <c r="F15" s="314"/>
      <c r="G15" s="6"/>
      <c r="H15" s="6"/>
    </row>
    <row r="16" spans="1:11" ht="13.5" customHeight="1">
      <c r="B16" s="6"/>
      <c r="C16" s="6"/>
      <c r="D16" s="6"/>
      <c r="E16" s="7"/>
      <c r="F16" s="314"/>
      <c r="G16" s="6"/>
      <c r="H16" s="6"/>
    </row>
    <row r="17" spans="1:10" ht="13.5" customHeight="1">
      <c r="B17" s="6"/>
      <c r="C17" s="6"/>
      <c r="D17" s="6"/>
      <c r="E17" s="7"/>
      <c r="F17" s="314"/>
      <c r="G17" s="6"/>
      <c r="H17" s="6"/>
    </row>
    <row r="18" spans="1:10" ht="13.5" customHeight="1">
      <c r="B18" s="58"/>
      <c r="I18" s="14"/>
    </row>
    <row r="19" spans="1:10" ht="17.25" customHeight="1">
      <c r="B19" s="56" t="s">
        <v>24</v>
      </c>
      <c r="C19" s="55"/>
      <c r="D19" s="55"/>
      <c r="E19" s="55"/>
      <c r="F19" s="55"/>
      <c r="G19" s="55"/>
      <c r="H19" s="55"/>
    </row>
    <row r="20" spans="1:10" ht="10.5" customHeight="1">
      <c r="B20" s="312"/>
      <c r="C20" s="312"/>
      <c r="D20" s="312"/>
      <c r="E20" s="312"/>
      <c r="F20" s="312"/>
      <c r="G20" s="312"/>
      <c r="H20" s="312"/>
      <c r="I20" s="313"/>
      <c r="J20" s="313"/>
    </row>
    <row r="21" spans="1:10" s="8" customFormat="1" ht="20.25" customHeight="1">
      <c r="A21" s="71"/>
      <c r="B21" s="77" t="s">
        <v>25</v>
      </c>
      <c r="C21" s="78"/>
      <c r="D21" s="78"/>
      <c r="E21" s="78"/>
      <c r="F21" s="78"/>
      <c r="G21" s="79"/>
      <c r="I21" s="75"/>
    </row>
    <row r="22" spans="1:10" s="8" customFormat="1" ht="20.25" customHeight="1">
      <c r="A22" s="71"/>
      <c r="B22" s="338" t="s">
        <v>458</v>
      </c>
      <c r="C22" s="9"/>
      <c r="D22" s="9"/>
      <c r="E22" s="9"/>
      <c r="F22" s="9"/>
      <c r="G22" s="326"/>
      <c r="H22" s="10"/>
      <c r="I22" s="172"/>
    </row>
    <row r="23" spans="1:10" s="8" customFormat="1" ht="20.25" customHeight="1">
      <c r="A23" s="71"/>
      <c r="B23" s="339" t="s">
        <v>459</v>
      </c>
      <c r="C23" s="324"/>
      <c r="D23" s="324"/>
      <c r="E23" s="324"/>
      <c r="F23" s="324"/>
      <c r="G23" s="325"/>
      <c r="I23" s="172"/>
      <c r="J23" s="8" t="str">
        <f>IF((Apartment_Centrally_AC_Rooms+Apartment_Condenser_Water_Rooms)&gt;Apartment_Total_Number_Rooms,"Sum of the centrally serviced apartments cannot be higher than total number of apartments","")</f>
        <v/>
      </c>
    </row>
    <row r="24" spans="1:10" s="8" customFormat="1" ht="20.25" customHeight="1">
      <c r="A24" s="71"/>
      <c r="B24" s="339" t="s">
        <v>460</v>
      </c>
      <c r="C24" s="324"/>
      <c r="D24" s="324"/>
      <c r="E24" s="324"/>
      <c r="F24" s="324"/>
      <c r="G24" s="325"/>
      <c r="I24" s="172"/>
    </row>
    <row r="25" spans="1:10" s="8" customFormat="1" ht="20.25" customHeight="1">
      <c r="A25" s="71"/>
      <c r="B25" s="339" t="s">
        <v>461</v>
      </c>
      <c r="C25" s="324"/>
      <c r="D25" s="324"/>
      <c r="E25" s="324"/>
      <c r="F25" s="324"/>
      <c r="G25" s="325"/>
      <c r="I25" s="340">
        <f>Apartment_Total_Number_Rooms-Apartment_Centrally_AC_Rooms-Apartment_Condenser_Water_Rooms</f>
        <v>0</v>
      </c>
    </row>
    <row r="26" spans="1:10" s="8" customFormat="1" ht="20.25" customHeight="1">
      <c r="A26" s="71"/>
      <c r="B26" s="341" t="s">
        <v>462</v>
      </c>
      <c r="C26" s="324"/>
      <c r="D26" s="324"/>
      <c r="E26" s="324"/>
      <c r="F26" s="324"/>
      <c r="G26" s="325"/>
      <c r="I26" s="342"/>
    </row>
    <row r="27" spans="1:10" s="8" customFormat="1" ht="20.25" customHeight="1">
      <c r="A27" s="71"/>
      <c r="B27" s="339" t="s">
        <v>463</v>
      </c>
      <c r="C27" s="324"/>
      <c r="D27" s="324"/>
      <c r="E27" s="324"/>
      <c r="F27" s="324"/>
      <c r="G27" s="325"/>
      <c r="I27" s="172"/>
    </row>
    <row r="28" spans="1:10" s="8" customFormat="1" ht="20.25" customHeight="1">
      <c r="A28" s="71"/>
      <c r="B28" s="339" t="s">
        <v>464</v>
      </c>
      <c r="C28" s="324"/>
      <c r="D28" s="324"/>
      <c r="E28" s="324"/>
      <c r="F28" s="324"/>
      <c r="G28" s="325"/>
      <c r="I28" s="75" t="s">
        <v>21</v>
      </c>
    </row>
    <row r="29" spans="1:10" s="8" customFormat="1" ht="20.25" customHeight="1">
      <c r="A29" s="71"/>
      <c r="B29" s="339" t="str">
        <f>IF(OR(Apartment_Pool="Unheated pool",Apartment_Pool="Temperature controlled pool"),"For how many months of the year is the pool available? (0 - 12 or leave empty to assume full year of 12 months)","")</f>
        <v/>
      </c>
      <c r="C29" s="9"/>
      <c r="D29" s="9"/>
      <c r="E29" s="9"/>
      <c r="F29" s="324"/>
      <c r="G29" s="325"/>
      <c r="I29" s="75"/>
    </row>
    <row r="30" spans="1:10" s="8" customFormat="1" ht="20.25" customHeight="1">
      <c r="A30" s="71"/>
      <c r="B30" s="339" t="s">
        <v>465</v>
      </c>
      <c r="C30" s="9"/>
      <c r="D30" s="9"/>
      <c r="E30" s="9"/>
      <c r="F30" s="9"/>
      <c r="G30" s="326"/>
      <c r="H30" s="10"/>
      <c r="I30" s="75" t="s">
        <v>21</v>
      </c>
    </row>
    <row r="31" spans="1:10" s="8" customFormat="1" ht="20.25" customHeight="1">
      <c r="A31" s="71"/>
      <c r="B31" s="339" t="str">
        <f>IF(Apartment_Gym="Yes","For how many months of the year is the gym available? (0 - 12 or leave empty to assume full year of 12 months)","")</f>
        <v/>
      </c>
      <c r="C31" s="9"/>
      <c r="D31" s="9"/>
      <c r="E31" s="9"/>
      <c r="F31" s="9"/>
      <c r="G31" s="326"/>
      <c r="H31" s="10"/>
      <c r="I31" s="75"/>
    </row>
    <row r="32" spans="1:10" s="8" customFormat="1" ht="20.25" customHeight="1">
      <c r="A32" s="71"/>
      <c r="B32" s="338" t="s">
        <v>466</v>
      </c>
      <c r="C32" s="9"/>
      <c r="D32" s="9"/>
      <c r="E32" s="9"/>
      <c r="F32" s="9"/>
      <c r="G32" s="326"/>
      <c r="H32" s="10"/>
      <c r="I32" s="172"/>
    </row>
    <row r="33" spans="1:11" s="8" customFormat="1" ht="20.25" customHeight="1">
      <c r="A33" s="71"/>
      <c r="B33" s="338" t="s">
        <v>467</v>
      </c>
      <c r="C33" s="9"/>
      <c r="D33" s="9"/>
      <c r="E33" s="9"/>
      <c r="F33" s="9"/>
      <c r="G33" s="326"/>
      <c r="H33" s="10"/>
      <c r="I33" s="172"/>
    </row>
    <row r="34" spans="1:11" s="8" customFormat="1" ht="20.25" customHeight="1">
      <c r="A34" s="71"/>
      <c r="B34" s="343" t="s">
        <v>468</v>
      </c>
      <c r="C34" s="9"/>
      <c r="D34" s="9"/>
      <c r="E34" s="9"/>
      <c r="F34" s="9"/>
      <c r="G34" s="326"/>
      <c r="H34" s="10"/>
      <c r="I34" s="342"/>
    </row>
    <row r="35" spans="1:11" s="8" customFormat="1" ht="20.25" customHeight="1">
      <c r="A35" s="71"/>
      <c r="B35" s="338" t="s">
        <v>469</v>
      </c>
      <c r="C35" s="9"/>
      <c r="D35" s="9"/>
      <c r="E35" s="9"/>
      <c r="F35" s="9"/>
      <c r="G35" s="326"/>
      <c r="H35" s="10"/>
      <c r="I35" s="172"/>
      <c r="J35" s="8" t="str">
        <f>IF(SUM(Apartment_Centrally_Water_Metered,Apartment_Own_CWM_DHW)&gt;Apartment_Total_Number_Rooms,"ERROR: Sum of water metered apartments cannot be higher than the total number of apartments","")</f>
        <v/>
      </c>
    </row>
    <row r="36" spans="1:11" s="8" customFormat="1" ht="20.25" customHeight="1">
      <c r="A36" s="71"/>
      <c r="B36" s="338" t="s">
        <v>470</v>
      </c>
      <c r="C36" s="9"/>
      <c r="D36" s="9"/>
      <c r="E36" s="9"/>
      <c r="F36" s="9"/>
      <c r="G36" s="326"/>
      <c r="H36" s="10"/>
      <c r="I36" s="172"/>
    </row>
    <row r="37" spans="1:11" s="8" customFormat="1" ht="20.25" customHeight="1">
      <c r="A37" s="71"/>
      <c r="B37" s="338" t="s">
        <v>471</v>
      </c>
      <c r="C37" s="9"/>
      <c r="D37" s="9"/>
      <c r="E37" s="9"/>
      <c r="F37" s="9"/>
      <c r="G37" s="326"/>
      <c r="H37" s="10"/>
      <c r="I37" s="344">
        <f>Apartment_Total_Number_Rooms-Apartment_Centrally_Water_Metered-Apartment_Own_CWM_DHW</f>
        <v>0</v>
      </c>
    </row>
    <row r="38" spans="1:11" s="8" customFormat="1" ht="20.25" customHeight="1">
      <c r="A38" s="71"/>
      <c r="B38" s="345" t="s">
        <v>472</v>
      </c>
      <c r="C38" s="80"/>
      <c r="D38" s="80"/>
      <c r="E38" s="80"/>
      <c r="F38" s="80"/>
      <c r="G38" s="81"/>
      <c r="H38" s="10"/>
      <c r="I38" s="344">
        <f>SUM(Apartment_Centrally_AC_Rooms,Apartment_Condenser_Water_Rooms)</f>
        <v>0</v>
      </c>
    </row>
    <row r="39" spans="1:11" s="8" customFormat="1" ht="20.25" customHeight="1">
      <c r="A39" s="71"/>
      <c r="B39" s="11"/>
      <c r="C39" s="9"/>
      <c r="D39" s="9"/>
      <c r="E39" s="9"/>
      <c r="F39" s="9"/>
      <c r="G39" s="9"/>
      <c r="H39" s="10"/>
      <c r="I39" s="327"/>
    </row>
    <row r="40" spans="1:11" s="8" customFormat="1" ht="20.25" customHeight="1">
      <c r="A40" s="71"/>
      <c r="B40" s="663" t="s">
        <v>27</v>
      </c>
      <c r="C40" s="666"/>
      <c r="D40" s="666"/>
      <c r="E40" s="666"/>
      <c r="F40" s="666"/>
      <c r="G40" s="667" t="s">
        <v>28</v>
      </c>
      <c r="H40" s="12"/>
      <c r="I40" s="84"/>
    </row>
    <row r="41" spans="1:11" s="8" customFormat="1" ht="20.25" customHeight="1">
      <c r="A41" s="71"/>
      <c r="B41" s="60" t="str">
        <f>IF(SUM(Apartment_Elec_Percent,Apartment_Gas_Percent,Apartment_Diesel_Percent)=1,"","ERROR: Percentage breakdown must total 100%")</f>
        <v>ERROR: Percentage breakdown must total 100%</v>
      </c>
      <c r="C41" s="13"/>
      <c r="D41" s="13"/>
      <c r="E41" s="13"/>
      <c r="F41" s="13"/>
      <c r="G41" s="61" t="s">
        <v>29</v>
      </c>
      <c r="H41" s="17"/>
      <c r="I41" s="84"/>
    </row>
    <row r="42" spans="1:11" s="8" customFormat="1" ht="20.25" customHeight="1">
      <c r="A42" s="71"/>
      <c r="B42" s="62"/>
      <c r="C42" s="63"/>
      <c r="D42" s="63"/>
      <c r="E42" s="63"/>
      <c r="F42" s="63"/>
      <c r="G42" s="64" t="s">
        <v>30</v>
      </c>
      <c r="H42" s="17"/>
      <c r="I42" s="84"/>
    </row>
    <row r="43" spans="1:11" s="8" customFormat="1" ht="20.25" customHeight="1">
      <c r="A43" s="1"/>
      <c r="B43" s="328"/>
      <c r="C43" s="329"/>
      <c r="D43" s="329"/>
      <c r="E43" s="329"/>
      <c r="F43" s="329"/>
      <c r="G43" s="329"/>
      <c r="H43" s="329"/>
      <c r="I43" s="330"/>
      <c r="J43" s="1"/>
      <c r="K43" s="1"/>
    </row>
    <row r="44" spans="1:11" s="8" customFormat="1" ht="20.25" customHeight="1" thickBot="1">
      <c r="A44" s="1"/>
      <c r="B44" s="331"/>
      <c r="C44" s="332"/>
      <c r="D44" s="332"/>
      <c r="E44" s="332"/>
      <c r="F44" s="332"/>
      <c r="G44" s="332"/>
      <c r="H44" s="332"/>
      <c r="I44" s="333"/>
      <c r="J44" s="1"/>
      <c r="K44" s="1"/>
    </row>
    <row r="45" spans="1:11" ht="19.5" customHeight="1" thickTop="1" thickBot="1">
      <c r="B45" s="89" t="s">
        <v>31</v>
      </c>
      <c r="C45" s="88"/>
      <c r="D45" s="88"/>
      <c r="E45" s="88"/>
      <c r="F45" s="88"/>
      <c r="G45" s="88"/>
      <c r="H45" s="88"/>
      <c r="I45" s="90"/>
    </row>
    <row r="46" spans="1:11" ht="16.149999999999999" thickTop="1">
      <c r="B46" s="85"/>
      <c r="C46" s="85"/>
      <c r="D46" s="85"/>
      <c r="E46" s="85"/>
      <c r="F46" s="85"/>
      <c r="G46" s="85"/>
      <c r="H46" s="85"/>
      <c r="I46" s="86"/>
      <c r="J46" s="313"/>
    </row>
    <row r="47" spans="1:11" ht="18" customHeight="1">
      <c r="C47" s="29" t="s">
        <v>473</v>
      </c>
      <c r="D47" s="16"/>
      <c r="G47" s="65" t="e">
        <f>INDEX(tbl_Apartment_Multi[],1,MATCH($J47,tbl_Apartment_Multi[#Headers],0))</f>
        <v>#DIV/0!</v>
      </c>
      <c r="H47" s="15"/>
      <c r="I47" s="334" t="s">
        <v>33</v>
      </c>
      <c r="J47" s="95" t="s">
        <v>474</v>
      </c>
    </row>
    <row r="48" spans="1:11" ht="18" customHeight="1">
      <c r="C48" s="16"/>
      <c r="D48" s="16"/>
      <c r="G48" s="15"/>
      <c r="H48" s="15"/>
      <c r="J48" s="96"/>
    </row>
    <row r="49" spans="1:15" ht="18" customHeight="1">
      <c r="C49" s="31" t="str">
        <f>CONCATENATE("Maximum Benchmarking Emissions at ",Apartment_Target_Energy, " Star NABERS Energy")</f>
        <v>Maximum Benchmarking Emissions at  Star NABERS Energy</v>
      </c>
      <c r="D49" s="16"/>
      <c r="G49" s="65" t="e">
        <f>INDEX(tbl_Apartment_Multi[],1,MATCH($J49,tbl_Apartment_Multi[#Headers],0))</f>
        <v>#DIV/0!</v>
      </c>
      <c r="H49" s="15"/>
      <c r="I49" s="334" t="s">
        <v>33</v>
      </c>
      <c r="J49" s="95" t="s">
        <v>35</v>
      </c>
    </row>
    <row r="50" spans="1:15" ht="18" customHeight="1">
      <c r="C50" s="16"/>
      <c r="D50" s="16"/>
      <c r="H50" s="15"/>
      <c r="J50" s="96"/>
    </row>
    <row r="51" spans="1:15" ht="18" customHeight="1">
      <c r="C51" s="16"/>
      <c r="D51" s="16"/>
      <c r="H51" s="15"/>
      <c r="J51" s="96"/>
    </row>
    <row r="52" spans="1:15" ht="18" customHeight="1">
      <c r="C52" s="29" t="s">
        <v>475</v>
      </c>
      <c r="D52" s="16"/>
      <c r="G52" s="65" t="e">
        <f>INDEX(tbl_Apartment_Multi[],1,MATCH($J52,tbl_Apartment_Multi[#Headers],0))</f>
        <v>#DIV/0!</v>
      </c>
      <c r="H52" s="15"/>
      <c r="I52" s="334" t="s">
        <v>33</v>
      </c>
      <c r="J52" s="95" t="s">
        <v>37</v>
      </c>
    </row>
    <row r="53" spans="1:15" ht="18" customHeight="1">
      <c r="C53" s="16"/>
      <c r="D53" s="16"/>
      <c r="G53" s="15"/>
      <c r="H53" s="15"/>
      <c r="J53" s="96"/>
    </row>
    <row r="54" spans="1:15" ht="18" customHeight="1">
      <c r="C54" s="29" t="s">
        <v>476</v>
      </c>
      <c r="D54" s="16"/>
      <c r="G54" s="65" t="e">
        <f>INDEX(tbl_Apartment_Multi[],1,MATCH($J54,tbl_Apartment_Multi[#Headers],0))</f>
        <v>#DIV/0!</v>
      </c>
      <c r="H54" s="15"/>
      <c r="I54" s="334" t="s">
        <v>33</v>
      </c>
      <c r="J54" s="95" t="s">
        <v>39</v>
      </c>
    </row>
    <row r="55" spans="1:15" ht="18" customHeight="1">
      <c r="C55" s="16"/>
      <c r="D55" s="16"/>
      <c r="G55" s="15"/>
      <c r="H55" s="15"/>
      <c r="J55" s="96"/>
      <c r="K55" s="8"/>
    </row>
    <row r="56" spans="1:15" ht="18" customHeight="1">
      <c r="C56" s="16"/>
      <c r="D56" s="16"/>
      <c r="G56" s="15"/>
      <c r="H56" s="15"/>
      <c r="J56" s="96"/>
      <c r="K56" s="8"/>
      <c r="M56" s="301"/>
    </row>
    <row r="57" spans="1:15" ht="18" customHeight="1">
      <c r="C57" s="16" t="str">
        <f>CONCATENATE("Benchmarking Emissions Intensity at ",Apartment_Target_Energy, " Star NABERS Energy")</f>
        <v>Benchmarking Emissions Intensity at  Star NABERS Energy</v>
      </c>
      <c r="G57" s="379" t="e">
        <f>INDEX(tbl_Apartment_Multi[],1,MATCH($J57,tbl_Apartment_Multi[#Headers],0))</f>
        <v>#DIV/0!</v>
      </c>
      <c r="I57" s="334" t="s">
        <v>477</v>
      </c>
      <c r="J57" s="95" t="s">
        <v>41</v>
      </c>
    </row>
    <row r="58" spans="1:15" ht="18" customHeight="1">
      <c r="C58" s="16"/>
      <c r="D58" s="16"/>
      <c r="G58" s="15"/>
      <c r="H58" s="15"/>
      <c r="J58" s="96"/>
    </row>
    <row r="59" spans="1:15" ht="18" customHeight="1">
      <c r="C59" s="16" t="str">
        <f>CONCATENATE("Energy Intensity at ",Apartment_Target_Energy, " Star NABERS Energy")</f>
        <v>Energy Intensity at  Star NABERS Energy</v>
      </c>
      <c r="G59" s="379" t="e">
        <f>INDEX(tbl_Apartment_Multi[],1,MATCH($J59,tbl_Apartment_Multi[#Headers],0))</f>
        <v>#DIV/0!</v>
      </c>
      <c r="I59" s="334" t="s">
        <v>478</v>
      </c>
      <c r="J59" s="95" t="s">
        <v>43</v>
      </c>
    </row>
    <row r="60" spans="1:15" ht="18" customHeight="1">
      <c r="C60" s="16"/>
      <c r="D60" s="16"/>
      <c r="G60" s="15"/>
      <c r="H60" s="15"/>
      <c r="J60" s="96"/>
    </row>
    <row r="61" spans="1:15" ht="18" customHeight="1">
      <c r="C61" s="16"/>
      <c r="D61" s="16"/>
      <c r="G61" s="15"/>
      <c r="H61" s="15"/>
      <c r="J61" s="96"/>
      <c r="K61" s="73"/>
    </row>
    <row r="62" spans="1:15" s="8" customFormat="1" ht="18" customHeight="1">
      <c r="A62" s="1"/>
      <c r="B62" s="1"/>
      <c r="C62" s="76" t="s">
        <v>44</v>
      </c>
      <c r="D62" s="312"/>
      <c r="G62" s="1"/>
      <c r="H62" s="1"/>
      <c r="I62" s="1"/>
      <c r="J62" s="96"/>
      <c r="K62" s="1"/>
    </row>
    <row r="63" spans="1:15" s="8" customFormat="1" ht="15.75" customHeight="1">
      <c r="A63" s="1"/>
      <c r="B63" s="1"/>
      <c r="C63" s="66"/>
      <c r="D63" s="66"/>
      <c r="F63" s="67" t="s">
        <v>45</v>
      </c>
      <c r="G63" s="156" t="e">
        <f>INDEX(tbl_Apartment_Multi[],1,MATCH($J63,tbl_Apartment_Multi[#Headers],0))</f>
        <v>#DIV/0!</v>
      </c>
      <c r="H63" s="335"/>
      <c r="I63" s="335" t="s">
        <v>46</v>
      </c>
      <c r="J63" s="95" t="s">
        <v>47</v>
      </c>
      <c r="K63" s="1"/>
    </row>
    <row r="64" spans="1:15" ht="15" customHeight="1">
      <c r="C64" s="66"/>
      <c r="D64" s="66"/>
      <c r="E64" s="8"/>
      <c r="F64" s="67" t="s">
        <v>48</v>
      </c>
      <c r="G64" s="156" t="e">
        <f>INDEX(tbl_Apartment_Multi[],1,MATCH($J64,tbl_Apartment_Multi[#Headers],0))</f>
        <v>#DIV/0!</v>
      </c>
      <c r="H64" s="335"/>
      <c r="I64" s="335" t="s">
        <v>49</v>
      </c>
      <c r="J64" s="95" t="s">
        <v>50</v>
      </c>
      <c r="O64" s="8"/>
    </row>
    <row r="65" spans="1:14" ht="16.899999999999999">
      <c r="C65" s="66"/>
      <c r="D65" s="66"/>
      <c r="F65" s="67" t="s">
        <v>51</v>
      </c>
      <c r="G65" s="156" t="e">
        <f>INDEX(tbl_Apartment_Multi[],1,MATCH($J65,tbl_Apartment_Multi[#Headers],0))</f>
        <v>#DIV/0!</v>
      </c>
      <c r="H65" s="335"/>
      <c r="I65" s="335" t="s">
        <v>52</v>
      </c>
      <c r="J65" s="95" t="s">
        <v>53</v>
      </c>
    </row>
    <row r="66" spans="1:14" ht="13.9" thickBot="1">
      <c r="A66" s="90"/>
      <c r="B66" s="90"/>
      <c r="C66" s="90"/>
      <c r="D66" s="90"/>
      <c r="E66" s="90"/>
      <c r="F66" s="90"/>
      <c r="G66" s="90"/>
      <c r="H66" s="90"/>
      <c r="I66" s="90"/>
      <c r="J66" s="95"/>
    </row>
    <row r="67" spans="1:14" ht="13.9" thickTop="1">
      <c r="J67" s="95"/>
    </row>
    <row r="68" spans="1:14" ht="18" customHeight="1">
      <c r="A68" s="32"/>
      <c r="B68" s="33"/>
      <c r="C68" s="29" t="s">
        <v>479</v>
      </c>
      <c r="E68" s="28"/>
      <c r="F68" s="28"/>
      <c r="G68" s="336" t="e">
        <f>INDEX(tbl_Apartment_Multi[],1,MATCH($J68,tbl_Apartment_Multi[#Headers],0))</f>
        <v>#DIV/0!</v>
      </c>
      <c r="H68" s="30"/>
      <c r="I68" s="337" t="s">
        <v>54</v>
      </c>
      <c r="J68" s="95" t="s">
        <v>480</v>
      </c>
      <c r="N68" s="346"/>
    </row>
    <row r="69" spans="1:14" ht="18" customHeight="1">
      <c r="A69" s="32"/>
      <c r="B69" s="33"/>
      <c r="C69" s="83" t="str">
        <f>IF(ISNUMBER(#REF!),#REF!,"")</f>
        <v/>
      </c>
      <c r="E69" s="83"/>
      <c r="F69" s="83"/>
      <c r="G69" s="34"/>
      <c r="I69" s="22"/>
      <c r="J69" s="98"/>
      <c r="N69" s="34"/>
    </row>
    <row r="70" spans="1:14" ht="18" customHeight="1">
      <c r="A70" s="32"/>
      <c r="B70" s="33"/>
      <c r="C70" s="31" t="str">
        <f>CONCATENATE("Maximum Water Consumption at ",Apartment_Target_Water, " Star NABERS Water")</f>
        <v>Maximum Water Consumption at  Star NABERS Water</v>
      </c>
      <c r="E70" s="27"/>
      <c r="F70" s="22"/>
      <c r="G70" s="336" t="e">
        <f>INDEX(tbl_Apartment_Multi[],1,MATCH($J70,tbl_Apartment_Multi[#Headers],0))</f>
        <v>#DIV/0!</v>
      </c>
      <c r="I70" s="337" t="s">
        <v>54</v>
      </c>
      <c r="J70" s="97" t="s">
        <v>55</v>
      </c>
      <c r="N70" s="346"/>
    </row>
    <row r="71" spans="1:14" ht="18" customHeight="1">
      <c r="A71" s="22"/>
      <c r="B71" s="28"/>
      <c r="C71" s="28"/>
      <c r="D71" s="848" t="str">
        <f>IF(ISNUMBER(#REF!),#REF!,"")</f>
        <v/>
      </c>
      <c r="E71" s="848"/>
      <c r="F71" s="848"/>
      <c r="G71" s="34"/>
      <c r="I71" s="35"/>
      <c r="J71" s="22"/>
    </row>
    <row r="72" spans="1:14" ht="18" customHeight="1">
      <c r="A72" s="22"/>
      <c r="B72" s="28"/>
      <c r="C72" s="28"/>
      <c r="D72" s="375"/>
      <c r="E72" s="375"/>
      <c r="F72" s="375"/>
      <c r="G72" s="34"/>
      <c r="I72" s="35"/>
      <c r="J72" s="22"/>
    </row>
    <row r="73" spans="1:14" ht="18" customHeight="1">
      <c r="A73" s="22"/>
      <c r="B73" s="28"/>
      <c r="C73" s="23" t="str">
        <f>CONCATENATE("Water Intensity at ",Apartment_Target_Water, " Star NABERS Water")</f>
        <v>Water Intensity at  Star NABERS Water</v>
      </c>
      <c r="G73" s="381" t="e">
        <f>INDEX(tbl_Apartment_Multi[],1,MATCH($J73,tbl_Apartment_Multi[#Headers],0))</f>
        <v>#DIV/0!</v>
      </c>
      <c r="H73" s="32"/>
      <c r="I73" s="337" t="s">
        <v>481</v>
      </c>
      <c r="J73" s="95" t="s">
        <v>57</v>
      </c>
    </row>
    <row r="76" spans="1:14" ht="13.9" thickBot="1"/>
    <row r="77" spans="1:14" ht="18.600000000000001" thickTop="1" thickBot="1">
      <c r="B77" s="92" t="s">
        <v>58</v>
      </c>
      <c r="C77" s="87"/>
      <c r="D77" s="87"/>
      <c r="E77" s="87"/>
      <c r="F77" s="87"/>
      <c r="G77" s="87"/>
      <c r="H77" s="87"/>
      <c r="I77" s="91"/>
    </row>
    <row r="78" spans="1:14" ht="13.9" thickTop="1"/>
    <row r="79" spans="1:14">
      <c r="B79" s="668" t="s">
        <v>59</v>
      </c>
      <c r="C79" s="669"/>
      <c r="D79" s="669"/>
      <c r="E79" s="669"/>
      <c r="F79" s="670" t="s">
        <v>60</v>
      </c>
      <c r="G79" s="356"/>
    </row>
    <row r="80" spans="1:14">
      <c r="B80" s="19"/>
      <c r="C80" s="20"/>
      <c r="D80" s="20"/>
      <c r="E80" s="20"/>
      <c r="F80" s="21" t="s">
        <v>61</v>
      </c>
      <c r="G80" s="356"/>
    </row>
    <row r="81" spans="2:10">
      <c r="B81" s="100"/>
      <c r="C81" s="20"/>
      <c r="D81" s="20"/>
      <c r="E81" s="20"/>
      <c r="F81" s="21" t="s">
        <v>62</v>
      </c>
      <c r="G81" s="356"/>
    </row>
    <row r="82" spans="2:10">
      <c r="B82" s="18"/>
      <c r="C82" s="99"/>
      <c r="D82" s="99"/>
      <c r="E82" s="99"/>
      <c r="F82" s="21" t="s">
        <v>482</v>
      </c>
      <c r="G82" s="357"/>
    </row>
    <row r="83" spans="2:10">
      <c r="B83" s="111" t="s">
        <v>64</v>
      </c>
      <c r="C83" s="103"/>
      <c r="D83" s="103"/>
      <c r="E83" s="103"/>
      <c r="F83" s="104" t="s">
        <v>65</v>
      </c>
      <c r="G83" s="170" t="e">
        <f>INDEX(tbl_Apartment_Multi[],1,MATCH($J83,tbl_Apartment_Multi[#Headers],0))</f>
        <v>#N/A</v>
      </c>
      <c r="J83" s="95" t="s">
        <v>483</v>
      </c>
    </row>
    <row r="84" spans="2:10">
      <c r="B84" s="114"/>
      <c r="C84" s="106"/>
      <c r="D84" s="106"/>
      <c r="E84" s="106"/>
      <c r="F84" s="107" t="s">
        <v>67</v>
      </c>
      <c r="G84" s="141" t="e">
        <f>INDEX(tbl_Apartment_Multi[],1,MATCH($J84,tbl_Apartment_Multi[#Headers],0))</f>
        <v>#N/A</v>
      </c>
      <c r="J84" s="95" t="s">
        <v>68</v>
      </c>
    </row>
    <row r="85" spans="2:10">
      <c r="B85" s="105"/>
      <c r="C85" s="106"/>
      <c r="D85" s="106"/>
      <c r="E85" s="106"/>
      <c r="F85" s="107" t="s">
        <v>69</v>
      </c>
      <c r="G85" s="141" t="e">
        <f>INDEX(tbl_Apartment_Multi[],1,MATCH($J85,tbl_Apartment_Multi[#Headers],0))</f>
        <v>#N/A</v>
      </c>
      <c r="H85" s="17"/>
      <c r="J85" s="95" t="s">
        <v>70</v>
      </c>
    </row>
    <row r="86" spans="2:10">
      <c r="B86" s="114"/>
      <c r="C86" s="106"/>
      <c r="D86" s="106"/>
      <c r="E86" s="106"/>
      <c r="F86" s="107" t="s">
        <v>71</v>
      </c>
      <c r="G86" s="170" t="e">
        <f>INDEX(tbl_Apartment_Multi[],1,MATCH($J86,tbl_Apartment_Multi[#Headers],0))</f>
        <v>#N/A</v>
      </c>
      <c r="H86" s="17"/>
      <c r="J86" s="95" t="s">
        <v>484</v>
      </c>
    </row>
    <row r="87" spans="2:10">
      <c r="B87" s="105"/>
      <c r="C87" s="106"/>
      <c r="D87" s="106"/>
      <c r="E87" s="106"/>
      <c r="F87" s="107" t="s">
        <v>73</v>
      </c>
      <c r="G87" s="141" t="e">
        <f>INDEX(tbl_Apartment_Multi[],1,MATCH($J87,tbl_Apartment_Multi[#Headers],0))</f>
        <v>#N/A</v>
      </c>
      <c r="H87" s="17"/>
      <c r="J87" s="95" t="s">
        <v>74</v>
      </c>
    </row>
    <row r="88" spans="2:10">
      <c r="B88" s="108"/>
      <c r="C88" s="109"/>
      <c r="D88" s="109"/>
      <c r="E88" s="109"/>
      <c r="F88" s="110" t="s">
        <v>75</v>
      </c>
      <c r="G88" s="141" t="e">
        <f>INDEX(tbl_Apartment_Multi[],1,MATCH($J88,tbl_Apartment_Multi[#Headers],0))</f>
        <v>#N/A</v>
      </c>
      <c r="H88" s="17"/>
      <c r="J88" s="95" t="s">
        <v>76</v>
      </c>
    </row>
    <row r="89" spans="2:10">
      <c r="B89" s="13"/>
      <c r="C89" s="13"/>
      <c r="D89" s="13"/>
      <c r="E89" s="65"/>
      <c r="F89" s="65"/>
      <c r="G89" s="65"/>
      <c r="H89" s="17"/>
    </row>
    <row r="91" spans="2:10">
      <c r="B91" s="112" t="s">
        <v>77</v>
      </c>
      <c r="C91" s="113"/>
      <c r="D91" s="113"/>
      <c r="E91" s="113"/>
      <c r="F91" s="102" t="s">
        <v>78</v>
      </c>
      <c r="G91" s="356"/>
    </row>
    <row r="92" spans="2:10">
      <c r="B92" s="115"/>
      <c r="C92" s="99"/>
      <c r="D92" s="99"/>
      <c r="E92" s="99"/>
      <c r="F92" s="101" t="s">
        <v>79</v>
      </c>
      <c r="G92" s="357"/>
      <c r="H92" s="12"/>
    </row>
    <row r="93" spans="2:10">
      <c r="B93" s="128" t="s">
        <v>80</v>
      </c>
      <c r="C93" s="129"/>
      <c r="D93" s="129"/>
      <c r="E93" s="129"/>
      <c r="F93" s="130" t="s">
        <v>485</v>
      </c>
      <c r="G93" s="138" t="e">
        <f>INDEX(tbl_Apartment_Multi[],1,MATCH($J93,tbl_Apartment_Multi[#Headers],0))</f>
        <v>#DIV/0!</v>
      </c>
      <c r="I93" s="337"/>
      <c r="J93" s="95" t="s">
        <v>486</v>
      </c>
    </row>
    <row r="94" spans="2:10">
      <c r="B94" s="131"/>
      <c r="C94" s="132"/>
      <c r="D94" s="132"/>
      <c r="E94" s="132"/>
      <c r="F94" s="133" t="s">
        <v>84</v>
      </c>
      <c r="G94" s="139" t="e">
        <f>INDEX(tbl_Apartment_Multi[],1,MATCH($J94,tbl_Apartment_Multi[#Headers],0))</f>
        <v>#DIV/0!</v>
      </c>
      <c r="J94" s="95" t="s">
        <v>85</v>
      </c>
    </row>
    <row r="95" spans="2:10">
      <c r="B95" s="131"/>
      <c r="C95" s="132"/>
      <c r="D95" s="132"/>
      <c r="E95" s="132"/>
      <c r="F95" s="133" t="s">
        <v>86</v>
      </c>
      <c r="G95" s="139" t="e">
        <f>INDEX(tbl_Apartment_Multi[],1,MATCH($J95,tbl_Apartment_Multi[#Headers],0))</f>
        <v>#DIV/0!</v>
      </c>
      <c r="J95" s="95" t="s">
        <v>87</v>
      </c>
    </row>
    <row r="96" spans="2:10">
      <c r="B96" s="131"/>
      <c r="C96" s="132"/>
      <c r="D96" s="132"/>
      <c r="E96" s="132"/>
      <c r="F96" s="133" t="s">
        <v>487</v>
      </c>
      <c r="G96" s="138" t="e">
        <f>INDEX(tbl_Apartment_Multi[],1,MATCH($J96,tbl_Apartment_Multi[#Headers],0))</f>
        <v>#DIV/0!</v>
      </c>
      <c r="I96" s="337"/>
      <c r="J96" s="95" t="s">
        <v>488</v>
      </c>
    </row>
    <row r="97" spans="2:10">
      <c r="B97" s="134"/>
      <c r="C97" s="132"/>
      <c r="D97" s="132"/>
      <c r="E97" s="132"/>
      <c r="F97" s="133" t="s">
        <v>90</v>
      </c>
      <c r="G97" s="139" t="e">
        <f>INDEX(tbl_Apartment_Multi[],1,MATCH($J97,tbl_Apartment_Multi[#Headers],0))</f>
        <v>#DIV/0!</v>
      </c>
      <c r="J97" s="95" t="s">
        <v>91</v>
      </c>
    </row>
    <row r="98" spans="2:10">
      <c r="B98" s="135"/>
      <c r="C98" s="136"/>
      <c r="D98" s="136"/>
      <c r="E98" s="136"/>
      <c r="F98" s="137" t="s">
        <v>92</v>
      </c>
      <c r="G98" s="139" t="e">
        <f>INDEX(tbl_Apartment_Multi[],1,MATCH($J98,tbl_Apartment_Multi[#Headers],0))</f>
        <v>#DIV/0!</v>
      </c>
      <c r="J98" s="95" t="s">
        <v>93</v>
      </c>
    </row>
  </sheetData>
  <sheetProtection algorithmName="SHA-512" hashValue="rhOL5AT88DhvqwxqO3BgI9OdA7wh9SEIgqV20dSVTSwihxpddJqRhrzUjAgakTPBEfai34rjk2prKO3CMOEgNw==" saltValue="ro04lm+n9LtmJVCkXJjp/Q==" spinCount="100000" sheet="1" objects="1" scenarios="1"/>
  <dataConsolidate/>
  <mergeCells count="4">
    <mergeCell ref="G3:I3"/>
    <mergeCell ref="B4:I4"/>
    <mergeCell ref="B7:I7"/>
    <mergeCell ref="D71:F71"/>
  </mergeCells>
  <conditionalFormatting sqref="C69 E69:F69 D71:F72">
    <cfRule type="expression" dxfId="1956" priority="24" stopIfTrue="1">
      <formula>($D$11="")</formula>
    </cfRule>
  </conditionalFormatting>
  <conditionalFormatting sqref="E12">
    <cfRule type="cellIs" dxfId="1955" priority="26" stopIfTrue="1" operator="between">
      <formula>0</formula>
      <formula>5</formula>
    </cfRule>
  </conditionalFormatting>
  <conditionalFormatting sqref="E14">
    <cfRule type="cellIs" dxfId="1954" priority="25" stopIfTrue="1" operator="between">
      <formula>0</formula>
      <formula>5</formula>
    </cfRule>
  </conditionalFormatting>
  <conditionalFormatting sqref="G63:G65">
    <cfRule type="expression" dxfId="1953" priority="27" stopIfTrue="1">
      <formula>(#REF!="")</formula>
    </cfRule>
    <cfRule type="expression" dxfId="1952" priority="28" stopIfTrue="1">
      <formula>OR(#REF!="ERROR: Rating must be in 0.5 star increment")</formula>
    </cfRule>
  </conditionalFormatting>
  <conditionalFormatting sqref="G79:G82 G91:G92">
    <cfRule type="expression" dxfId="1951" priority="41" stopIfTrue="1">
      <formula>($B$32="ERROR: Percentage breakdown must total 100%")</formula>
    </cfRule>
  </conditionalFormatting>
  <conditionalFormatting sqref="I18">
    <cfRule type="cellIs" dxfId="1950" priority="29" stopIfTrue="1" operator="between">
      <formula>0</formula>
      <formula>5</formula>
    </cfRule>
  </conditionalFormatting>
  <conditionalFormatting sqref="I21:I35">
    <cfRule type="expression" dxfId="1949" priority="5">
      <formula>$B21=""</formula>
    </cfRule>
  </conditionalFormatting>
  <conditionalFormatting sqref="I36">
    <cfRule type="expression" dxfId="1948" priority="4">
      <formula>$B37=""</formula>
    </cfRule>
  </conditionalFormatting>
  <conditionalFormatting sqref="I37">
    <cfRule type="expression" dxfId="1947" priority="46">
      <formula>#REF!=""</formula>
    </cfRule>
  </conditionalFormatting>
  <conditionalFormatting sqref="I38">
    <cfRule type="expression" dxfId="1946" priority="6">
      <formula>$B38=""</formula>
    </cfRule>
  </conditionalFormatting>
  <conditionalFormatting sqref="I40:I42">
    <cfRule type="expression" dxfId="1945" priority="7">
      <formula>NOT(SUM($I$40:$I$42)=1)</formula>
    </cfRule>
  </conditionalFormatting>
  <dataValidations count="4">
    <dataValidation type="decimal" allowBlank="1" showInputMessage="1" showErrorMessage="1" sqref="I18 E12:E17 WCG12:WCG14 VSK12:VSK14 VIO12:VIO14 UYS12:UYS14 UOW12:UOW14 UFA12:UFA14 TVE12:TVE14 TLI12:TLI14 TBM12:TBM14 SRQ12:SRQ14 SHU12:SHU14 RXY12:RXY14 ROC12:ROC14 REG12:REG14 QUK12:QUK14 QKO12:QKO14 QAS12:QAS14 PQW12:PQW14 PHA12:PHA14 OXE12:OXE14 ONI12:ONI14 ODM12:ODM14 NTQ12:NTQ14 NJU12:NJU14 MZY12:MZY14 MQC12:MQC14 MGG12:MGG14 LWK12:LWK14 LMO12:LMO14 LCS12:LCS14 KSW12:KSW14 KJA12:KJA14 JZE12:JZE14 JPI12:JPI14 JFM12:JFM14 IVQ12:IVQ14 ILU12:ILU14 IBY12:IBY14 HSC12:HSC14 HIG12:HIG14 GYK12:GYK14 GOO12:GOO14 GES12:GES14 FUW12:FUW14 FLA12:FLA14 FBE12:FBE14 ERI12:ERI14 EHM12:EHM14 DXQ12:DXQ14 DNU12:DNU14 DDY12:DDY14 CUC12:CUC14 CKG12:CKG14 CAK12:CAK14 BQO12:BQO14 BGS12:BGS14 AWW12:AWW14 ANA12:ANA14 ADE12:ADE14 TI12:TI14 JM12:JM14 Q12:Q14 WMC12:WMC14" xr:uid="{2A044912-00F2-4E52-B748-A2850F74C4F9}">
      <formula1>0</formula1>
      <formula2>6</formula2>
    </dataValidation>
    <dataValidation type="list" allowBlank="1" showInputMessage="1" showErrorMessage="1" sqref="I28" xr:uid="{DAEAB4A7-094F-4D29-AB7F-7393C0359FAD}">
      <formula1>List_Apartment_Swimming_Pool_Type</formula1>
    </dataValidation>
    <dataValidation type="decimal" allowBlank="1" showInputMessage="1" showErrorMessage="1" sqref="I29 I31" xr:uid="{C4F1E285-229A-4F9B-BAC8-CC9433AC8660}">
      <formula1>0</formula1>
      <formula2>12</formula2>
    </dataValidation>
    <dataValidation type="list" allowBlank="1" showInputMessage="1" showErrorMessage="1" sqref="I30" xr:uid="{EECC1037-F225-4A26-8197-F3C59779C6FC}">
      <formula1>List_Apartment_Gym_Present</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7C4A2-6F3D-429C-BDD4-021CB0E419C2}">
  <sheetPr codeName="Sheet50"/>
  <dimension ref="A1:HM6"/>
  <sheetViews>
    <sheetView topLeftCell="AM1" zoomScale="70" zoomScaleNormal="70" workbookViewId="0">
      <pane ySplit="3" topLeftCell="A4" activePane="bottomLeft" state="frozen"/>
      <selection pane="bottomLeft" activeCell="BP5" sqref="BP5"/>
    </sheetView>
  </sheetViews>
  <sheetFormatPr defaultColWidth="9.28515625" defaultRowHeight="16.5" customHeight="1"/>
  <cols>
    <col min="1" max="1" width="19.28515625" style="36" customWidth="1"/>
    <col min="2" max="2" width="14" style="36" customWidth="1"/>
    <col min="3" max="3" width="11.28515625" style="36" customWidth="1"/>
    <col min="4" max="4" width="11" style="36" customWidth="1"/>
    <col min="5" max="5" width="15" style="36" customWidth="1"/>
    <col min="6" max="7" width="18.5703125" style="36" customWidth="1"/>
    <col min="8" max="8" width="12.28515625" style="36" customWidth="1"/>
    <col min="9" max="9" width="9.28515625" style="36"/>
    <col min="10" max="10" width="11.28515625" style="36" customWidth="1"/>
    <col min="11" max="11" width="9.28515625" style="36" customWidth="1"/>
    <col min="12" max="12" width="13.85546875" style="36" customWidth="1"/>
    <col min="13" max="13" width="15" style="36" customWidth="1"/>
    <col min="14" max="14" width="15.85546875" style="36" customWidth="1"/>
    <col min="15" max="18" width="18.7109375" style="36" customWidth="1"/>
    <col min="19" max="21" width="12.28515625" style="70" customWidth="1"/>
    <col min="22" max="23" width="16.28515625" style="70" customWidth="1"/>
    <col min="24" max="29" width="16.28515625" style="36" customWidth="1"/>
    <col min="30" max="30" width="16.28515625" style="70" customWidth="1"/>
    <col min="31" max="31" width="16.28515625" style="36" customWidth="1"/>
    <col min="32" max="35" width="17.7109375" style="36" customWidth="1"/>
    <col min="36" max="38" width="12.28515625" style="36" customWidth="1"/>
    <col min="39" max="39" width="13" style="36" customWidth="1"/>
    <col min="40" max="41" width="12.28515625" style="36" customWidth="1"/>
    <col min="42" max="42" width="12.28515625" style="36" bestFit="1" customWidth="1"/>
    <col min="43" max="44" width="9.28515625" style="70" bestFit="1" customWidth="1"/>
    <col min="45" max="45" width="13" style="70" customWidth="1"/>
    <col min="46" max="46" width="13.7109375" style="70" customWidth="1"/>
    <col min="47" max="47" width="9.28515625" style="70"/>
    <col min="48" max="55" width="9.28515625" style="70" bestFit="1" customWidth="1"/>
    <col min="56" max="58" width="9.28515625" style="36" customWidth="1"/>
    <col min="59" max="59" width="9.28515625" style="36" bestFit="1" customWidth="1"/>
    <col min="60" max="63" width="9.28515625" style="36" customWidth="1"/>
    <col min="64" max="64" width="9.28515625" style="70"/>
    <col min="65" max="66" width="9.28515625" style="36" customWidth="1"/>
    <col min="67" max="67" width="9.28515625" style="36" bestFit="1" customWidth="1"/>
    <col min="68" max="68" width="10.28515625" style="36" bestFit="1" customWidth="1"/>
    <col min="69" max="69" width="9.28515625" style="36" bestFit="1" customWidth="1"/>
    <col min="70" max="73" width="9.28515625" style="70" bestFit="1" customWidth="1"/>
    <col min="74" max="74" width="9.28515625" style="36" bestFit="1" customWidth="1"/>
    <col min="75" max="77" width="11.85546875" style="36" customWidth="1"/>
    <col min="78" max="79" width="9.28515625" style="70"/>
    <col min="80" max="84" width="11.85546875" style="70" customWidth="1"/>
    <col min="85" max="85" width="9.28515625" style="70"/>
    <col min="86" max="90" width="11.85546875" style="70" customWidth="1"/>
    <col min="91" max="91" width="9.28515625" style="70"/>
    <col min="92" max="92" width="11.85546875" style="70" customWidth="1"/>
    <col min="93" max="93" width="12.28515625" style="36" customWidth="1"/>
    <col min="94" max="103" width="12.28515625" style="70" customWidth="1"/>
    <col min="104" max="104" width="11" style="70" customWidth="1"/>
    <col min="105" max="105" width="13" style="70" bestFit="1" customWidth="1"/>
    <col min="106" max="107" width="9.28515625" style="70" customWidth="1"/>
    <col min="108" max="147" width="12.7109375" style="70" customWidth="1"/>
    <col min="148" max="151" width="12.7109375" style="36" customWidth="1"/>
    <col min="152" max="165" width="12.7109375" style="70" customWidth="1"/>
    <col min="166" max="182" width="12.7109375" style="36" customWidth="1"/>
    <col min="183" max="186" width="12.7109375" style="70" customWidth="1"/>
    <col min="187" max="203" width="12.7109375" style="36" customWidth="1"/>
    <col min="204" max="209" width="9.28515625" style="36" bestFit="1" customWidth="1"/>
    <col min="210" max="211" width="9.28515625" style="70"/>
    <col min="212" max="221" width="9.28515625" style="36" bestFit="1" customWidth="1"/>
    <col min="222" max="224" width="9.28515625" style="36"/>
    <col min="225" max="225" width="11" style="36" customWidth="1"/>
    <col min="226" max="16384" width="9.28515625" style="36"/>
  </cols>
  <sheetData>
    <row r="1" spans="1:221" ht="16.5" customHeight="1">
      <c r="A1" s="201" t="s">
        <v>94</v>
      </c>
      <c r="B1" s="196"/>
      <c r="C1" s="201" t="s">
        <v>489</v>
      </c>
      <c r="D1" s="195"/>
      <c r="E1" s="195"/>
      <c r="F1" s="195"/>
      <c r="G1" s="195"/>
      <c r="H1" s="195"/>
      <c r="I1" s="195"/>
      <c r="J1" s="195"/>
      <c r="K1" s="195"/>
      <c r="L1" s="195"/>
      <c r="M1" s="195"/>
      <c r="N1" s="195"/>
      <c r="O1" s="195" t="s">
        <v>490</v>
      </c>
      <c r="P1" s="195"/>
      <c r="Q1" s="195"/>
      <c r="R1" s="195"/>
      <c r="S1" s="210" t="s">
        <v>96</v>
      </c>
      <c r="T1" s="195"/>
      <c r="U1" s="195"/>
      <c r="V1" s="204" t="s">
        <v>97</v>
      </c>
      <c r="W1" s="205"/>
      <c r="X1" s="205"/>
      <c r="Y1" s="205"/>
      <c r="Z1" s="205"/>
      <c r="AA1" s="205"/>
      <c r="AB1" s="205"/>
      <c r="AC1" s="205"/>
      <c r="AD1" s="205"/>
      <c r="AE1" s="205"/>
      <c r="AF1" s="206" t="s">
        <v>491</v>
      </c>
      <c r="AG1" s="531"/>
      <c r="AH1" s="383"/>
      <c r="AI1" s="203"/>
      <c r="AJ1" s="213" t="s">
        <v>492</v>
      </c>
      <c r="AK1" s="178"/>
      <c r="AL1" s="179"/>
      <c r="AM1" s="213"/>
      <c r="AN1" s="177" t="s">
        <v>99</v>
      </c>
      <c r="AO1" s="180"/>
      <c r="AP1" s="37" t="s">
        <v>493</v>
      </c>
      <c r="AQ1" s="36"/>
      <c r="AR1" s="36"/>
      <c r="AS1" s="36"/>
      <c r="AT1" s="207" t="s">
        <v>102</v>
      </c>
      <c r="AU1" s="36"/>
      <c r="AV1" s="36"/>
      <c r="AW1" s="310" t="s">
        <v>103</v>
      </c>
      <c r="AX1" s="191"/>
      <c r="AY1" s="191"/>
      <c r="AZ1" s="191"/>
      <c r="BA1" s="192"/>
      <c r="BB1" s="310" t="s">
        <v>104</v>
      </c>
      <c r="BC1" s="191"/>
      <c r="BD1" s="191"/>
      <c r="BE1" s="191"/>
      <c r="BF1" s="191"/>
      <c r="BG1" s="192"/>
      <c r="BH1" s="222" t="s">
        <v>105</v>
      </c>
      <c r="BI1" s="117"/>
      <c r="BJ1" s="117"/>
      <c r="BK1" s="117"/>
      <c r="BL1" s="119"/>
      <c r="BM1" s="117"/>
      <c r="BN1" s="117"/>
      <c r="BO1" s="117"/>
      <c r="BP1" s="117"/>
      <c r="BQ1" s="117"/>
      <c r="BR1" s="117"/>
      <c r="BS1" s="117"/>
      <c r="BT1" s="117"/>
      <c r="BU1" s="116"/>
      <c r="BV1" s="118" t="s">
        <v>106</v>
      </c>
      <c r="BW1" s="117"/>
      <c r="BX1" s="117"/>
      <c r="BY1" s="117"/>
      <c r="BZ1" s="117"/>
      <c r="CA1" s="117"/>
      <c r="CB1" s="117"/>
      <c r="CC1" s="117"/>
      <c r="CD1" s="117"/>
      <c r="CE1" s="117"/>
      <c r="CF1" s="117"/>
      <c r="CG1" s="117"/>
      <c r="CH1" s="117"/>
      <c r="CI1" s="117"/>
      <c r="CJ1" s="117"/>
      <c r="CK1" s="117"/>
      <c r="CL1" s="117"/>
      <c r="CM1" s="117"/>
      <c r="CN1" s="116"/>
      <c r="CO1" s="119" t="s">
        <v>494</v>
      </c>
      <c r="CP1" s="117"/>
      <c r="CQ1" s="117"/>
      <c r="CR1" s="117"/>
      <c r="CS1" s="117"/>
      <c r="CT1" s="117"/>
      <c r="CU1" s="117"/>
      <c r="CV1" s="117"/>
      <c r="CW1" s="117"/>
      <c r="CX1" s="117"/>
      <c r="CY1" s="116"/>
      <c r="CZ1" s="118" t="s">
        <v>108</v>
      </c>
      <c r="DA1" s="117"/>
      <c r="DB1" s="119"/>
      <c r="DC1" s="208"/>
      <c r="DD1" s="290" t="s">
        <v>495</v>
      </c>
      <c r="DE1" s="174"/>
      <c r="DF1" s="174"/>
      <c r="DG1" s="174"/>
      <c r="DH1" s="174"/>
      <c r="DI1" s="174"/>
      <c r="DJ1" s="174"/>
      <c r="DK1" s="174"/>
      <c r="DL1" s="174"/>
      <c r="DM1" s="174"/>
      <c r="DN1" s="174"/>
      <c r="DO1" s="174"/>
      <c r="DP1" s="207" t="s">
        <v>496</v>
      </c>
      <c r="DQ1" s="251"/>
      <c r="DR1" s="251"/>
      <c r="DS1" s="251"/>
      <c r="DT1" s="251"/>
      <c r="DU1" s="251"/>
      <c r="DV1" s="251"/>
      <c r="DW1" s="251"/>
      <c r="DX1" s="251"/>
      <c r="DY1" s="251"/>
      <c r="DZ1" s="251"/>
      <c r="EA1" s="251"/>
      <c r="EB1" s="197"/>
      <c r="EC1" s="251"/>
      <c r="ED1" s="251"/>
      <c r="EE1" s="251"/>
      <c r="EF1" s="251"/>
      <c r="EG1" s="251"/>
      <c r="EH1" s="251"/>
      <c r="EI1" s="251"/>
      <c r="EJ1" s="251"/>
      <c r="EK1" s="251"/>
      <c r="EL1" s="251"/>
      <c r="EM1" s="198"/>
      <c r="EN1" s="36"/>
      <c r="EO1" s="36"/>
      <c r="EP1" s="36"/>
      <c r="EQ1" s="36"/>
      <c r="EV1" s="36"/>
      <c r="EW1" s="36"/>
      <c r="EX1" s="36"/>
      <c r="EY1" s="36"/>
      <c r="EZ1" s="197"/>
      <c r="FA1" s="251"/>
      <c r="FB1" s="251"/>
      <c r="FC1" s="251"/>
      <c r="FD1" s="251"/>
      <c r="FE1" s="251"/>
      <c r="FF1" s="251"/>
      <c r="FG1" s="251"/>
      <c r="FH1" s="251"/>
      <c r="FI1" s="251"/>
      <c r="FJ1" s="251"/>
      <c r="FK1" s="251"/>
      <c r="FL1" s="197"/>
      <c r="FM1" s="251"/>
      <c r="FN1" s="251"/>
      <c r="FO1" s="251"/>
      <c r="FP1" s="251"/>
      <c r="FQ1" s="251"/>
      <c r="FR1" s="251"/>
      <c r="FS1" s="251"/>
      <c r="FT1" s="251"/>
      <c r="FU1" s="251"/>
      <c r="FV1" s="251"/>
      <c r="FW1" s="251"/>
      <c r="FX1" s="197"/>
      <c r="FY1" s="251"/>
      <c r="FZ1" s="251"/>
      <c r="GA1" s="251"/>
      <c r="GB1" s="251"/>
      <c r="GC1" s="251"/>
      <c r="GD1" s="251"/>
      <c r="GE1" s="251"/>
      <c r="GF1" s="251"/>
      <c r="GG1" s="251"/>
      <c r="GH1" s="251"/>
      <c r="GI1" s="198"/>
      <c r="GJ1" s="119" t="s">
        <v>497</v>
      </c>
      <c r="GK1" s="117"/>
      <c r="GL1" s="117"/>
      <c r="GM1" s="117"/>
      <c r="GN1" s="117"/>
      <c r="GO1" s="117"/>
      <c r="GP1" s="117"/>
      <c r="GQ1" s="117"/>
      <c r="GR1" s="117"/>
      <c r="GS1" s="117"/>
      <c r="GT1" s="117"/>
      <c r="GU1" s="174"/>
      <c r="GV1" s="354"/>
      <c r="GW1" s="208"/>
      <c r="GX1" s="208" t="s">
        <v>111</v>
      </c>
      <c r="GY1" s="208"/>
      <c r="GZ1" s="174"/>
      <c r="HA1" s="174"/>
      <c r="HB1" s="174"/>
      <c r="HC1" s="174"/>
      <c r="HD1" s="174"/>
      <c r="HE1" s="292"/>
      <c r="HF1" s="119" t="s">
        <v>112</v>
      </c>
      <c r="HG1" s="117"/>
      <c r="HH1" s="117"/>
      <c r="HI1" s="117"/>
      <c r="HJ1" s="117"/>
      <c r="HK1" s="119"/>
      <c r="HL1" s="117"/>
      <c r="HM1" s="116"/>
    </row>
    <row r="2" spans="1:221" ht="80.45" customHeight="1">
      <c r="A2" s="197"/>
      <c r="B2" s="198"/>
      <c r="C2" s="181" t="s">
        <v>25</v>
      </c>
      <c r="D2" s="182" t="s">
        <v>498</v>
      </c>
      <c r="E2" s="182" t="s">
        <v>499</v>
      </c>
      <c r="F2" s="182" t="s">
        <v>500</v>
      </c>
      <c r="G2" s="182" t="s">
        <v>501</v>
      </c>
      <c r="H2" s="182" t="s">
        <v>502</v>
      </c>
      <c r="I2" s="182" t="s">
        <v>503</v>
      </c>
      <c r="J2" s="182" t="s">
        <v>504</v>
      </c>
      <c r="K2" s="182" t="s">
        <v>505</v>
      </c>
      <c r="L2" s="182" t="s">
        <v>506</v>
      </c>
      <c r="M2" s="182" t="s">
        <v>507</v>
      </c>
      <c r="N2" s="298" t="s">
        <v>508</v>
      </c>
      <c r="O2" s="298" t="s">
        <v>509</v>
      </c>
      <c r="P2" s="298" t="s">
        <v>510</v>
      </c>
      <c r="Q2" s="298" t="s">
        <v>511</v>
      </c>
      <c r="R2" s="298" t="s">
        <v>512</v>
      </c>
      <c r="S2" s="297" t="s">
        <v>116</v>
      </c>
      <c r="T2" s="298" t="s">
        <v>117</v>
      </c>
      <c r="U2" s="298" t="s">
        <v>118</v>
      </c>
      <c r="V2" s="36"/>
      <c r="W2" s="36"/>
      <c r="AD2" s="36"/>
      <c r="AJ2" s="185" t="s">
        <v>60</v>
      </c>
      <c r="AK2" s="186" t="s">
        <v>61</v>
      </c>
      <c r="AL2" s="186" t="s">
        <v>62</v>
      </c>
      <c r="AM2" s="186" t="s">
        <v>119</v>
      </c>
      <c r="AN2" s="185" t="s">
        <v>120</v>
      </c>
      <c r="AO2" s="214" t="s">
        <v>121</v>
      </c>
      <c r="AP2" s="227" t="s">
        <v>122</v>
      </c>
      <c r="AQ2" s="228" t="s">
        <v>123</v>
      </c>
      <c r="AR2" s="228" t="s">
        <v>124</v>
      </c>
      <c r="AS2" s="229" t="s">
        <v>125</v>
      </c>
      <c r="AT2" s="230" t="s">
        <v>126</v>
      </c>
      <c r="AU2" s="230" t="s">
        <v>127</v>
      </c>
      <c r="AV2" s="230" t="s">
        <v>128</v>
      </c>
      <c r="AW2" s="250" t="s">
        <v>129</v>
      </c>
      <c r="AX2" s="230" t="s">
        <v>130</v>
      </c>
      <c r="AY2" s="230" t="s">
        <v>131</v>
      </c>
      <c r="AZ2" s="230" t="s">
        <v>132</v>
      </c>
      <c r="BA2" s="231" t="s">
        <v>133</v>
      </c>
      <c r="BB2" s="250" t="s">
        <v>134</v>
      </c>
      <c r="BC2" s="230" t="s">
        <v>135</v>
      </c>
      <c r="BD2" s="230" t="s">
        <v>136</v>
      </c>
      <c r="BE2" s="230" t="s">
        <v>137</v>
      </c>
      <c r="BF2" s="230" t="s">
        <v>138</v>
      </c>
      <c r="BG2" s="231" t="s">
        <v>139</v>
      </c>
      <c r="BH2" s="224" t="s">
        <v>513</v>
      </c>
      <c r="BI2" s="225"/>
      <c r="BJ2" s="225" t="s">
        <v>514</v>
      </c>
      <c r="BK2" s="225"/>
      <c r="BL2" s="225" t="s">
        <v>515</v>
      </c>
      <c r="BM2" s="225" t="s">
        <v>516</v>
      </c>
      <c r="BN2" s="225" t="s">
        <v>517</v>
      </c>
      <c r="BO2" s="225" t="s">
        <v>518</v>
      </c>
      <c r="BP2" s="225" t="s">
        <v>519</v>
      </c>
      <c r="BQ2" s="225" t="s">
        <v>520</v>
      </c>
      <c r="BR2" s="225" t="s">
        <v>521</v>
      </c>
      <c r="BS2" s="225" t="s">
        <v>522</v>
      </c>
      <c r="BT2" s="225" t="s">
        <v>523</v>
      </c>
      <c r="BU2" s="226"/>
      <c r="BV2" s="299"/>
      <c r="BW2" s="40" t="s">
        <v>524</v>
      </c>
      <c r="BX2" s="40" t="s">
        <v>525</v>
      </c>
      <c r="BY2" s="40" t="s">
        <v>526</v>
      </c>
      <c r="BZ2" s="40" t="s">
        <v>527</v>
      </c>
      <c r="CA2" s="40" t="s">
        <v>528</v>
      </c>
      <c r="CB2" s="40" t="s">
        <v>529</v>
      </c>
      <c r="CC2" s="40"/>
      <c r="CD2" s="40"/>
      <c r="CE2" s="40"/>
      <c r="CF2" s="40"/>
      <c r="CG2" s="40"/>
      <c r="CH2" s="40"/>
      <c r="CI2" s="40" t="s">
        <v>524</v>
      </c>
      <c r="CJ2" s="40" t="s">
        <v>525</v>
      </c>
      <c r="CK2" s="40" t="s">
        <v>526</v>
      </c>
      <c r="CL2" s="40" t="s">
        <v>527</v>
      </c>
      <c r="CM2" s="40" t="s">
        <v>528</v>
      </c>
      <c r="CN2" s="300" t="s">
        <v>529</v>
      </c>
      <c r="CO2" s="233" t="s">
        <v>530</v>
      </c>
      <c r="CP2" s="233"/>
      <c r="CQ2" s="233"/>
      <c r="CR2" s="233"/>
      <c r="CS2" s="233"/>
      <c r="CT2" s="233"/>
      <c r="CU2" s="233"/>
      <c r="CV2" s="233"/>
      <c r="CW2" s="233"/>
      <c r="CX2" s="233"/>
      <c r="CY2" s="234"/>
      <c r="CZ2" s="175"/>
      <c r="DA2" s="235"/>
      <c r="DB2" s="175"/>
      <c r="DC2" s="175"/>
      <c r="DD2" s="282" t="s">
        <v>531</v>
      </c>
      <c r="DE2" s="283" t="s">
        <v>532</v>
      </c>
      <c r="DF2" s="283" t="s">
        <v>533</v>
      </c>
      <c r="DG2" s="283" t="s">
        <v>534</v>
      </c>
      <c r="DH2" s="283" t="s">
        <v>535</v>
      </c>
      <c r="DI2" s="283" t="s">
        <v>536</v>
      </c>
      <c r="DJ2" s="283" t="s">
        <v>537</v>
      </c>
      <c r="DK2" s="283" t="s">
        <v>538</v>
      </c>
      <c r="DL2" s="283" t="s">
        <v>539</v>
      </c>
      <c r="DM2" s="283" t="s">
        <v>540</v>
      </c>
      <c r="DN2" s="283" t="s">
        <v>541</v>
      </c>
      <c r="DO2" s="283" t="s">
        <v>542</v>
      </c>
      <c r="DP2" s="241" t="s">
        <v>543</v>
      </c>
      <c r="DQ2" s="242" t="s">
        <v>544</v>
      </c>
      <c r="DR2" s="242" t="s">
        <v>545</v>
      </c>
      <c r="DS2" s="242" t="s">
        <v>546</v>
      </c>
      <c r="DT2" s="242" t="s">
        <v>547</v>
      </c>
      <c r="DU2" s="242" t="s">
        <v>548</v>
      </c>
      <c r="DV2" s="242" t="s">
        <v>549</v>
      </c>
      <c r="DW2" s="242" t="s">
        <v>550</v>
      </c>
      <c r="DX2" s="242" t="s">
        <v>551</v>
      </c>
      <c r="DY2" s="242" t="s">
        <v>552</v>
      </c>
      <c r="DZ2" s="242" t="s">
        <v>553</v>
      </c>
      <c r="EA2" s="243" t="s">
        <v>554</v>
      </c>
      <c r="EB2" s="241" t="s">
        <v>191</v>
      </c>
      <c r="EC2" s="242" t="s">
        <v>192</v>
      </c>
      <c r="ED2" s="242" t="s">
        <v>193</v>
      </c>
      <c r="EE2" s="242" t="s">
        <v>194</v>
      </c>
      <c r="EF2" s="242" t="s">
        <v>195</v>
      </c>
      <c r="EG2" s="242" t="s">
        <v>196</v>
      </c>
      <c r="EH2" s="242" t="s">
        <v>197</v>
      </c>
      <c r="EI2" s="242" t="s">
        <v>198</v>
      </c>
      <c r="EJ2" s="242" t="s">
        <v>199</v>
      </c>
      <c r="EK2" s="242" t="s">
        <v>200</v>
      </c>
      <c r="EL2" s="242" t="s">
        <v>201</v>
      </c>
      <c r="EM2" s="243" t="s">
        <v>202</v>
      </c>
      <c r="EN2" s="241" t="s">
        <v>203</v>
      </c>
      <c r="EO2" s="242" t="s">
        <v>204</v>
      </c>
      <c r="EP2" s="242" t="s">
        <v>205</v>
      </c>
      <c r="EQ2" s="242" t="s">
        <v>206</v>
      </c>
      <c r="ER2" s="242" t="s">
        <v>207</v>
      </c>
      <c r="ES2" s="242" t="s">
        <v>208</v>
      </c>
      <c r="ET2" s="242" t="s">
        <v>209</v>
      </c>
      <c r="EU2" s="242" t="s">
        <v>210</v>
      </c>
      <c r="EV2" s="242" t="s">
        <v>211</v>
      </c>
      <c r="EW2" s="242" t="s">
        <v>212</v>
      </c>
      <c r="EX2" s="242" t="s">
        <v>213</v>
      </c>
      <c r="EY2" s="242" t="s">
        <v>214</v>
      </c>
      <c r="EZ2" s="241" t="s">
        <v>215</v>
      </c>
      <c r="FA2" s="242" t="s">
        <v>216</v>
      </c>
      <c r="FB2" s="242" t="s">
        <v>217</v>
      </c>
      <c r="FC2" s="242" t="s">
        <v>218</v>
      </c>
      <c r="FD2" s="242" t="s">
        <v>219</v>
      </c>
      <c r="FE2" s="242" t="s">
        <v>220</v>
      </c>
      <c r="FF2" s="242" t="s">
        <v>221</v>
      </c>
      <c r="FG2" s="242" t="s">
        <v>222</v>
      </c>
      <c r="FH2" s="242" t="s">
        <v>223</v>
      </c>
      <c r="FI2" s="242" t="s">
        <v>224</v>
      </c>
      <c r="FJ2" s="242" t="s">
        <v>225</v>
      </c>
      <c r="FK2" s="242" t="s">
        <v>226</v>
      </c>
      <c r="FL2" s="241" t="s">
        <v>227</v>
      </c>
      <c r="FM2" s="242" t="s">
        <v>228</v>
      </c>
      <c r="FN2" s="242" t="s">
        <v>229</v>
      </c>
      <c r="FO2" s="242" t="s">
        <v>230</v>
      </c>
      <c r="FP2" s="242" t="s">
        <v>231</v>
      </c>
      <c r="FQ2" s="242" t="s">
        <v>232</v>
      </c>
      <c r="FR2" s="242" t="s">
        <v>233</v>
      </c>
      <c r="FS2" s="242" t="s">
        <v>234</v>
      </c>
      <c r="FT2" s="242" t="s">
        <v>235</v>
      </c>
      <c r="FU2" s="242" t="s">
        <v>236</v>
      </c>
      <c r="FV2" s="242" t="s">
        <v>237</v>
      </c>
      <c r="FW2" s="242" t="s">
        <v>238</v>
      </c>
      <c r="FX2" s="241" t="s">
        <v>239</v>
      </c>
      <c r="FY2" s="242" t="s">
        <v>240</v>
      </c>
      <c r="FZ2" s="242" t="s">
        <v>241</v>
      </c>
      <c r="GA2" s="242" t="s">
        <v>242</v>
      </c>
      <c r="GB2" s="242" t="s">
        <v>243</v>
      </c>
      <c r="GC2" s="242" t="s">
        <v>244</v>
      </c>
      <c r="GD2" s="242" t="s">
        <v>245</v>
      </c>
      <c r="GE2" s="242" t="s">
        <v>246</v>
      </c>
      <c r="GF2" s="242" t="s">
        <v>247</v>
      </c>
      <c r="GG2" s="242" t="s">
        <v>248</v>
      </c>
      <c r="GH2" s="242" t="s">
        <v>249</v>
      </c>
      <c r="GI2" s="243" t="s">
        <v>250</v>
      </c>
      <c r="GJ2" s="175" t="s">
        <v>287</v>
      </c>
      <c r="GK2" s="175" t="s">
        <v>288</v>
      </c>
      <c r="GL2" s="175" t="s">
        <v>289</v>
      </c>
      <c r="GM2" s="175" t="s">
        <v>290</v>
      </c>
      <c r="GN2" s="175" t="s">
        <v>291</v>
      </c>
      <c r="GO2" s="175" t="s">
        <v>292</v>
      </c>
      <c r="GP2" s="175" t="s">
        <v>293</v>
      </c>
      <c r="GQ2" s="175" t="s">
        <v>294</v>
      </c>
      <c r="GR2" s="175" t="s">
        <v>295</v>
      </c>
      <c r="GS2" s="175" t="s">
        <v>296</v>
      </c>
      <c r="GT2" s="175" t="s">
        <v>297</v>
      </c>
      <c r="GU2" s="175" t="s">
        <v>298</v>
      </c>
      <c r="GV2" s="224" t="s">
        <v>299</v>
      </c>
      <c r="GW2" s="225" t="s">
        <v>300</v>
      </c>
      <c r="GX2" s="225" t="s">
        <v>555</v>
      </c>
      <c r="GY2" s="225" t="s">
        <v>556</v>
      </c>
      <c r="GZ2" s="225" t="s">
        <v>557</v>
      </c>
      <c r="HA2" s="225" t="s">
        <v>558</v>
      </c>
      <c r="HB2" s="225" t="s">
        <v>559</v>
      </c>
      <c r="HC2" s="225" t="s">
        <v>560</v>
      </c>
      <c r="HD2" s="225" t="s">
        <v>561</v>
      </c>
      <c r="HE2" s="226" t="s">
        <v>562</v>
      </c>
      <c r="HF2" s="147" t="s">
        <v>563</v>
      </c>
      <c r="HG2" s="147" t="s">
        <v>564</v>
      </c>
      <c r="HH2" s="147" t="s">
        <v>565</v>
      </c>
      <c r="HI2" s="148" t="s">
        <v>566</v>
      </c>
      <c r="HJ2" s="175" t="s">
        <v>567</v>
      </c>
      <c r="HK2" s="175"/>
      <c r="HL2" s="175"/>
      <c r="HM2" s="176"/>
    </row>
    <row r="3" spans="1:221" ht="80.45" customHeight="1">
      <c r="A3" s="489" t="s">
        <v>314</v>
      </c>
      <c r="B3" s="490" t="s">
        <v>315</v>
      </c>
      <c r="C3" s="491" t="s">
        <v>316</v>
      </c>
      <c r="D3" s="492" t="s">
        <v>568</v>
      </c>
      <c r="E3" s="492" t="s">
        <v>569</v>
      </c>
      <c r="F3" s="492" t="s">
        <v>570</v>
      </c>
      <c r="G3" s="492" t="s">
        <v>571</v>
      </c>
      <c r="H3" s="492" t="s">
        <v>572</v>
      </c>
      <c r="I3" s="492" t="s">
        <v>503</v>
      </c>
      <c r="J3" s="492" t="s">
        <v>573</v>
      </c>
      <c r="K3" s="492" t="s">
        <v>505</v>
      </c>
      <c r="L3" s="492" t="s">
        <v>574</v>
      </c>
      <c r="M3" s="492" t="s">
        <v>575</v>
      </c>
      <c r="N3" s="492" t="s">
        <v>576</v>
      </c>
      <c r="O3" s="494" t="s">
        <v>577</v>
      </c>
      <c r="P3" s="494" t="s">
        <v>578</v>
      </c>
      <c r="Q3" s="494" t="s">
        <v>579</v>
      </c>
      <c r="R3" s="494" t="s">
        <v>580</v>
      </c>
      <c r="S3" s="493" t="s">
        <v>116</v>
      </c>
      <c r="T3" s="41" t="s">
        <v>117</v>
      </c>
      <c r="U3" s="211" t="s">
        <v>118</v>
      </c>
      <c r="V3" s="212" t="s">
        <v>581</v>
      </c>
      <c r="W3" s="188" t="s">
        <v>474</v>
      </c>
      <c r="X3" s="188" t="s">
        <v>35</v>
      </c>
      <c r="Y3" s="188" t="s">
        <v>41</v>
      </c>
      <c r="Z3" s="188" t="s">
        <v>43</v>
      </c>
      <c r="AA3" s="188" t="s">
        <v>37</v>
      </c>
      <c r="AB3" s="188" t="s">
        <v>39</v>
      </c>
      <c r="AC3" s="188" t="s">
        <v>47</v>
      </c>
      <c r="AD3" s="188" t="s">
        <v>50</v>
      </c>
      <c r="AE3" s="189" t="s">
        <v>53</v>
      </c>
      <c r="AF3" s="188" t="s">
        <v>582</v>
      </c>
      <c r="AG3" s="188" t="s">
        <v>480</v>
      </c>
      <c r="AH3" s="188" t="s">
        <v>55</v>
      </c>
      <c r="AI3" s="189" t="s">
        <v>57</v>
      </c>
      <c r="AJ3" s="215" t="s">
        <v>321</v>
      </c>
      <c r="AK3" s="215" t="s">
        <v>322</v>
      </c>
      <c r="AL3" s="215" t="s">
        <v>323</v>
      </c>
      <c r="AM3" s="215" t="s">
        <v>324</v>
      </c>
      <c r="AN3" s="151" t="s">
        <v>325</v>
      </c>
      <c r="AO3" s="216" t="s">
        <v>326</v>
      </c>
      <c r="AP3" s="236" t="s">
        <v>327</v>
      </c>
      <c r="AQ3" s="237" t="s">
        <v>328</v>
      </c>
      <c r="AR3" s="237" t="s">
        <v>124</v>
      </c>
      <c r="AS3" s="238" t="s">
        <v>125</v>
      </c>
      <c r="AT3" s="239" t="s">
        <v>332</v>
      </c>
      <c r="AU3" s="239" t="s">
        <v>333</v>
      </c>
      <c r="AV3" s="239" t="s">
        <v>334</v>
      </c>
      <c r="AW3" s="257" t="s">
        <v>335</v>
      </c>
      <c r="AX3" s="239" t="s">
        <v>336</v>
      </c>
      <c r="AY3" s="239" t="s">
        <v>337</v>
      </c>
      <c r="AZ3" s="239" t="s">
        <v>338</v>
      </c>
      <c r="BA3" s="240" t="s">
        <v>583</v>
      </c>
      <c r="BB3" s="257" t="s">
        <v>340</v>
      </c>
      <c r="BC3" s="239" t="s">
        <v>341</v>
      </c>
      <c r="BD3" s="239" t="s">
        <v>342</v>
      </c>
      <c r="BE3" s="239" t="s">
        <v>343</v>
      </c>
      <c r="BF3" s="239" t="s">
        <v>344</v>
      </c>
      <c r="BG3" s="240" t="s">
        <v>345</v>
      </c>
      <c r="BH3" s="219" t="s">
        <v>584</v>
      </c>
      <c r="BI3" s="220" t="s">
        <v>585</v>
      </c>
      <c r="BJ3" s="220" t="s">
        <v>150</v>
      </c>
      <c r="BK3" s="220" t="s">
        <v>586</v>
      </c>
      <c r="BL3" s="220" t="s">
        <v>587</v>
      </c>
      <c r="BM3" s="220" t="s">
        <v>588</v>
      </c>
      <c r="BN3" s="220" t="s">
        <v>517</v>
      </c>
      <c r="BO3" s="220" t="s">
        <v>589</v>
      </c>
      <c r="BP3" s="220" t="s">
        <v>590</v>
      </c>
      <c r="BQ3" s="220" t="s">
        <v>591</v>
      </c>
      <c r="BR3" s="220" t="s">
        <v>592</v>
      </c>
      <c r="BS3" s="220" t="s">
        <v>593</v>
      </c>
      <c r="BT3" s="220" t="s">
        <v>594</v>
      </c>
      <c r="BU3" s="221" t="s">
        <v>595</v>
      </c>
      <c r="BV3" s="293" t="s">
        <v>596</v>
      </c>
      <c r="BW3" s="294" t="s">
        <v>597</v>
      </c>
      <c r="BX3" s="294" t="s">
        <v>598</v>
      </c>
      <c r="BY3" s="294" t="s">
        <v>599</v>
      </c>
      <c r="BZ3" s="294" t="s">
        <v>600</v>
      </c>
      <c r="CA3" s="294" t="s">
        <v>601</v>
      </c>
      <c r="CB3" s="294" t="s">
        <v>602</v>
      </c>
      <c r="CC3" s="294" t="s">
        <v>603</v>
      </c>
      <c r="CD3" s="294" t="s">
        <v>604</v>
      </c>
      <c r="CE3" s="294" t="s">
        <v>605</v>
      </c>
      <c r="CF3" s="294" t="s">
        <v>606</v>
      </c>
      <c r="CG3" s="294" t="s">
        <v>607</v>
      </c>
      <c r="CH3" s="294" t="s">
        <v>608</v>
      </c>
      <c r="CI3" s="294" t="s">
        <v>609</v>
      </c>
      <c r="CJ3" s="294" t="s">
        <v>610</v>
      </c>
      <c r="CK3" s="294" t="s">
        <v>611</v>
      </c>
      <c r="CL3" s="294" t="s">
        <v>612</v>
      </c>
      <c r="CM3" s="294" t="s">
        <v>613</v>
      </c>
      <c r="CN3" s="295" t="s">
        <v>614</v>
      </c>
      <c r="CO3" s="242" t="s">
        <v>615</v>
      </c>
      <c r="CP3" s="242" t="s">
        <v>616</v>
      </c>
      <c r="CQ3" s="242" t="s">
        <v>617</v>
      </c>
      <c r="CR3" s="242" t="s">
        <v>372</v>
      </c>
      <c r="CS3" s="242" t="s">
        <v>373</v>
      </c>
      <c r="CT3" s="242" t="s">
        <v>374</v>
      </c>
      <c r="CU3" s="242" t="s">
        <v>375</v>
      </c>
      <c r="CV3" s="242" t="s">
        <v>376</v>
      </c>
      <c r="CW3" s="242" t="s">
        <v>377</v>
      </c>
      <c r="CX3" s="242" t="s">
        <v>378</v>
      </c>
      <c r="CY3" s="243" t="s">
        <v>379</v>
      </c>
      <c r="CZ3" s="245" t="s">
        <v>618</v>
      </c>
      <c r="DA3" s="245" t="s">
        <v>619</v>
      </c>
      <c r="DB3" s="245" t="s">
        <v>620</v>
      </c>
      <c r="DC3" s="364" t="s">
        <v>621</v>
      </c>
      <c r="DD3" s="371" t="s">
        <v>622</v>
      </c>
      <c r="DE3" s="370" t="s">
        <v>623</v>
      </c>
      <c r="DF3" s="370" t="s">
        <v>624</v>
      </c>
      <c r="DG3" s="370" t="s">
        <v>625</v>
      </c>
      <c r="DH3" s="370" t="s">
        <v>626</v>
      </c>
      <c r="DI3" s="370" t="s">
        <v>627</v>
      </c>
      <c r="DJ3" s="370" t="s">
        <v>628</v>
      </c>
      <c r="DK3" s="370" t="s">
        <v>629</v>
      </c>
      <c r="DL3" s="370" t="s">
        <v>630</v>
      </c>
      <c r="DM3" s="370" t="s">
        <v>631</v>
      </c>
      <c r="DN3" s="370" t="s">
        <v>632</v>
      </c>
      <c r="DO3" s="370" t="s">
        <v>633</v>
      </c>
      <c r="DP3" s="367" t="s">
        <v>634</v>
      </c>
      <c r="DQ3" s="366" t="s">
        <v>635</v>
      </c>
      <c r="DR3" s="366" t="s">
        <v>636</v>
      </c>
      <c r="DS3" s="366" t="s">
        <v>637</v>
      </c>
      <c r="DT3" s="366" t="s">
        <v>638</v>
      </c>
      <c r="DU3" s="366" t="s">
        <v>639</v>
      </c>
      <c r="DV3" s="366" t="s">
        <v>640</v>
      </c>
      <c r="DW3" s="366" t="s">
        <v>641</v>
      </c>
      <c r="DX3" s="366" t="s">
        <v>642</v>
      </c>
      <c r="DY3" s="366" t="s">
        <v>643</v>
      </c>
      <c r="DZ3" s="366" t="s">
        <v>644</v>
      </c>
      <c r="EA3" s="366" t="s">
        <v>645</v>
      </c>
      <c r="EB3" s="367" t="s">
        <v>406</v>
      </c>
      <c r="EC3" s="366" t="s">
        <v>407</v>
      </c>
      <c r="ED3" s="366" t="s">
        <v>408</v>
      </c>
      <c r="EE3" s="366" t="s">
        <v>409</v>
      </c>
      <c r="EF3" s="366" t="s">
        <v>410</v>
      </c>
      <c r="EG3" s="366" t="s">
        <v>411</v>
      </c>
      <c r="EH3" s="366" t="s">
        <v>412</v>
      </c>
      <c r="EI3" s="366" t="s">
        <v>413</v>
      </c>
      <c r="EJ3" s="366" t="s">
        <v>414</v>
      </c>
      <c r="EK3" s="366" t="s">
        <v>415</v>
      </c>
      <c r="EL3" s="366" t="s">
        <v>416</v>
      </c>
      <c r="EM3" s="368" t="s">
        <v>417</v>
      </c>
      <c r="EN3" s="367" t="s">
        <v>203</v>
      </c>
      <c r="EO3" s="366" t="s">
        <v>204</v>
      </c>
      <c r="EP3" s="366" t="s">
        <v>205</v>
      </c>
      <c r="EQ3" s="366" t="s">
        <v>206</v>
      </c>
      <c r="ER3" s="366" t="s">
        <v>207</v>
      </c>
      <c r="ES3" s="366" t="s">
        <v>208</v>
      </c>
      <c r="ET3" s="366" t="s">
        <v>209</v>
      </c>
      <c r="EU3" s="366" t="s">
        <v>210</v>
      </c>
      <c r="EV3" s="366" t="s">
        <v>211</v>
      </c>
      <c r="EW3" s="366" t="s">
        <v>212</v>
      </c>
      <c r="EX3" s="366" t="s">
        <v>213</v>
      </c>
      <c r="EY3" s="366" t="s">
        <v>214</v>
      </c>
      <c r="EZ3" s="367" t="s">
        <v>418</v>
      </c>
      <c r="FA3" s="366" t="s">
        <v>419</v>
      </c>
      <c r="FB3" s="366" t="s">
        <v>420</v>
      </c>
      <c r="FC3" s="366" t="s">
        <v>421</v>
      </c>
      <c r="FD3" s="366" t="s">
        <v>422</v>
      </c>
      <c r="FE3" s="366" t="s">
        <v>423</v>
      </c>
      <c r="FF3" s="366" t="s">
        <v>424</v>
      </c>
      <c r="FG3" s="366" t="s">
        <v>425</v>
      </c>
      <c r="FH3" s="366" t="s">
        <v>426</v>
      </c>
      <c r="FI3" s="366" t="s">
        <v>427</v>
      </c>
      <c r="FJ3" s="366" t="s">
        <v>428</v>
      </c>
      <c r="FK3" s="366" t="s">
        <v>429</v>
      </c>
      <c r="FL3" s="367" t="s">
        <v>227</v>
      </c>
      <c r="FM3" s="366" t="s">
        <v>228</v>
      </c>
      <c r="FN3" s="366" t="s">
        <v>229</v>
      </c>
      <c r="FO3" s="366" t="s">
        <v>230</v>
      </c>
      <c r="FP3" s="366" t="s">
        <v>231</v>
      </c>
      <c r="FQ3" s="366" t="s">
        <v>232</v>
      </c>
      <c r="FR3" s="366" t="s">
        <v>233</v>
      </c>
      <c r="FS3" s="366" t="s">
        <v>234</v>
      </c>
      <c r="FT3" s="366" t="s">
        <v>235</v>
      </c>
      <c r="FU3" s="366" t="s">
        <v>236</v>
      </c>
      <c r="FV3" s="366" t="s">
        <v>237</v>
      </c>
      <c r="FW3" s="366" t="s">
        <v>238</v>
      </c>
      <c r="FX3" s="367" t="s">
        <v>239</v>
      </c>
      <c r="FY3" s="366" t="s">
        <v>240</v>
      </c>
      <c r="FZ3" s="366" t="s">
        <v>241</v>
      </c>
      <c r="GA3" s="366" t="s">
        <v>242</v>
      </c>
      <c r="GB3" s="366" t="s">
        <v>243</v>
      </c>
      <c r="GC3" s="366" t="s">
        <v>244</v>
      </c>
      <c r="GD3" s="366" t="s">
        <v>245</v>
      </c>
      <c r="GE3" s="366" t="s">
        <v>246</v>
      </c>
      <c r="GF3" s="366" t="s">
        <v>247</v>
      </c>
      <c r="GG3" s="366" t="s">
        <v>248</v>
      </c>
      <c r="GH3" s="366" t="s">
        <v>249</v>
      </c>
      <c r="GI3" s="368" t="s">
        <v>250</v>
      </c>
      <c r="GJ3" s="217" t="s">
        <v>287</v>
      </c>
      <c r="GK3" s="217" t="s">
        <v>288</v>
      </c>
      <c r="GL3" s="217" t="s">
        <v>289</v>
      </c>
      <c r="GM3" s="217" t="s">
        <v>290</v>
      </c>
      <c r="GN3" s="217" t="s">
        <v>291</v>
      </c>
      <c r="GO3" s="217" t="s">
        <v>292</v>
      </c>
      <c r="GP3" s="217" t="s">
        <v>293</v>
      </c>
      <c r="GQ3" s="217" t="s">
        <v>294</v>
      </c>
      <c r="GR3" s="217" t="s">
        <v>295</v>
      </c>
      <c r="GS3" s="217" t="s">
        <v>296</v>
      </c>
      <c r="GT3" s="217" t="s">
        <v>297</v>
      </c>
      <c r="GU3" s="362" t="s">
        <v>298</v>
      </c>
      <c r="GV3" s="248" t="s">
        <v>430</v>
      </c>
      <c r="GW3" s="249" t="s">
        <v>431</v>
      </c>
      <c r="GX3" s="249" t="s">
        <v>432</v>
      </c>
      <c r="GY3" s="249" t="s">
        <v>433</v>
      </c>
      <c r="GZ3" s="249" t="s">
        <v>435</v>
      </c>
      <c r="HA3" s="249" t="s">
        <v>436</v>
      </c>
      <c r="HB3" s="249" t="s">
        <v>646</v>
      </c>
      <c r="HC3" s="249" t="s">
        <v>647</v>
      </c>
      <c r="HD3" s="246" t="s">
        <v>648</v>
      </c>
      <c r="HE3" s="247" t="s">
        <v>649</v>
      </c>
      <c r="HF3" s="145" t="s">
        <v>444</v>
      </c>
      <c r="HG3" s="146" t="s">
        <v>445</v>
      </c>
      <c r="HH3" s="144" t="s">
        <v>446</v>
      </c>
      <c r="HI3" s="145" t="s">
        <v>447</v>
      </c>
      <c r="HJ3" s="145" t="s">
        <v>448</v>
      </c>
      <c r="HK3" s="145" t="s">
        <v>449</v>
      </c>
      <c r="HL3" s="218" t="s">
        <v>650</v>
      </c>
      <c r="HM3" s="218" t="s">
        <v>651</v>
      </c>
    </row>
    <row r="4" spans="1:221" ht="16.5" customHeight="1">
      <c r="A4" s="484">
        <f>Apartment_Target_Energy</f>
        <v>0</v>
      </c>
      <c r="B4" s="484">
        <f>Apartment_Target_Water</f>
        <v>0</v>
      </c>
      <c r="C4" s="485">
        <f>Apartment_Postcode</f>
        <v>0</v>
      </c>
      <c r="D4" s="485">
        <f>Apartment_Total_Number_Rooms</f>
        <v>0</v>
      </c>
      <c r="E4" s="485">
        <f>Apartment_Centrally_AC_Rooms</f>
        <v>0</v>
      </c>
      <c r="F4" s="485">
        <f>Apartment_Condenser_Water_Rooms</f>
        <v>0</v>
      </c>
      <c r="G4" s="485">
        <f>Apartment_Unserviced_Rooms</f>
        <v>0</v>
      </c>
      <c r="H4" s="485">
        <f>Apartment_Lift_Serviced_Rooms</f>
        <v>0</v>
      </c>
      <c r="I4" s="485" t="str">
        <f>Apartment_Pool</f>
        <v>&lt;Select&gt;</v>
      </c>
      <c r="J4" s="485">
        <f>Apartment_Pool_TMPA</f>
        <v>0</v>
      </c>
      <c r="K4" s="485" t="str">
        <f>Apartment_Gym</f>
        <v>&lt;Select&gt;</v>
      </c>
      <c r="L4" s="485">
        <f>Apartment_Gym_TMGA</f>
        <v>0</v>
      </c>
      <c r="M4" s="485">
        <f>Apartment_CP_Natural</f>
        <v>0</v>
      </c>
      <c r="N4" s="485">
        <f>Apartment_CP_Mech</f>
        <v>0</v>
      </c>
      <c r="O4" s="485">
        <f>Apartment_Centrally_Water_Metered</f>
        <v>0</v>
      </c>
      <c r="P4" s="485">
        <f>Apartment_Own_CWM_DHW</f>
        <v>0</v>
      </c>
      <c r="Q4" s="485">
        <f>Apartment_Own_CWM_No_DHW</f>
        <v>0</v>
      </c>
      <c r="R4" s="485">
        <f>Apartment_Total_AC</f>
        <v>0</v>
      </c>
      <c r="S4" s="487">
        <f>Apartment_Elec_Percent</f>
        <v>0</v>
      </c>
      <c r="T4" s="487">
        <f>Apartment_Gas_Percent</f>
        <v>0</v>
      </c>
      <c r="U4" s="487">
        <f>Apartment_Diesel_Percent</f>
        <v>0</v>
      </c>
      <c r="V4" s="126">
        <f>tbl_Apartment_Multi[[#This Row],[Target Max Energy BF]]</f>
        <v>185.505</v>
      </c>
      <c r="W4" s="42" t="e">
        <f>tbl_Apartment_Multi[[#This Row],[Predicted Emissions]]</f>
        <v>#DIV/0!</v>
      </c>
      <c r="X4" s="42" t="e">
        <f>tbl_Apartment_Multi[[#This Row],[Target Max CO2]]</f>
        <v>#DIV/0!</v>
      </c>
      <c r="Y4" s="42" t="e">
        <f>tbl_Apartment_Multi[[#This Row],[Target Max e]]</f>
        <v>#DIV/0!</v>
      </c>
      <c r="Z4" s="42" t="e">
        <f>tbl_Apartment_Multi[[#This Row],[Target Max Energy Intensity]]</f>
        <v>#DIV/0!</v>
      </c>
      <c r="AA4" s="42" t="e">
        <f>tbl_Apartment_Multi[[#This Row],[Target Scopes 1,2&amp;3]]</f>
        <v>#DIV/0!</v>
      </c>
      <c r="AB4" s="42" t="e">
        <f>tbl_Apartment_Multi[[#This Row],[Target Scopes 1&amp;2]]</f>
        <v>#DIV/0!</v>
      </c>
      <c r="AC4" s="42" t="e">
        <f>tbl_Apartment_Multi[[#This Row],[Target Max Elec (kWh)]]</f>
        <v>#DIV/0!</v>
      </c>
      <c r="AD4" s="42" t="e">
        <f>tbl_Apartment_Multi[[#This Row],[Target Max Gas (MJ)]]</f>
        <v>#DIV/0!</v>
      </c>
      <c r="AE4" s="42" t="e">
        <f>tbl_Apartment_Multi[[#This Row],[Target Max Diesel (L)]]</f>
        <v>#DIV/0!</v>
      </c>
      <c r="AF4" s="126">
        <f>tbl_Apartment_Multi[[#This Row],[Target Max Water BF]]</f>
        <v>185.505</v>
      </c>
      <c r="AG4" s="42" t="e">
        <f>tbl_Apartment_Multi[[#This Row],[Predicted Water]]</f>
        <v>#DIV/0!</v>
      </c>
      <c r="AH4" s="42" t="e">
        <f>tbl_Apartment_Multi[[#This Row],[Target Max Water (kL)]]</f>
        <v>#DIV/0!</v>
      </c>
      <c r="AI4" s="378" t="e">
        <f>tbl_Apartment_Multi[[#This Row],[Target Max Water Intensity]]</f>
        <v>#DIV/0!</v>
      </c>
      <c r="AJ4" s="285">
        <f>Apartment_Elec_FWD</f>
        <v>0</v>
      </c>
      <c r="AK4" s="285">
        <f>Apartment_Gas_FWD</f>
        <v>0</v>
      </c>
      <c r="AL4" s="285">
        <f>Apartment_Diesel_FWD</f>
        <v>0</v>
      </c>
      <c r="AM4" s="43">
        <f>Apartment_GreenPower_Percent_FWD</f>
        <v>0</v>
      </c>
      <c r="AN4" s="285">
        <f>Apartment_Water_FWD</f>
        <v>0</v>
      </c>
      <c r="AO4" s="43">
        <f>Apartment_RW_Percent_FWD</f>
        <v>0</v>
      </c>
      <c r="AP4" s="45" t="e">
        <f>INDEX(tbl_Climate_Lookup[],MATCH(tbl_Apartment_Multi[[Postcode]:[Postcode]],tbl_Climate_Lookup[[Postcode]:[Postcode]],0),MATCH(tbl_Apartment_Multi[[#Headers],[State]],tbl_Climate_Lookup[#Headers],0))</f>
        <v>#N/A</v>
      </c>
      <c r="AQ4" s="45" t="e">
        <f>INDEX(tbl_Climate_Lookup[],MATCH(tbl_Apartment_Multi[[Postcode]:[Postcode]],tbl_Climate_Lookup[[Postcode]:[Postcode]],0),MATCH(tbl_Apartment_Multi[[#Headers],[Climate zone]],tbl_Climate_Lookup[#Headers],0))</f>
        <v>#N/A</v>
      </c>
      <c r="AR4" s="169" t="e">
        <f>INDEX(tbl_Climate_Lookup[],MATCH(tbl_Apartment_Multi[[Postcode]:[Postcode]],tbl_Climate_Lookup[[Postcode]:[Postcode]],0),MATCH(tbl_Apartment_Multi[[#Headers],[HDD]],tbl_Climate_Lookup[#Headers],0))</f>
        <v>#N/A</v>
      </c>
      <c r="AS4" s="169" t="e">
        <f>INDEX(tbl_Climate_Lookup[],MATCH(tbl_Apartment_Multi[[Postcode]:[Postcode]],tbl_Climate_Lookup[[Postcode]:[Postcode]],0),MATCH(tbl_Apartment_Multi[[#Headers],[CDD]],tbl_Climate_Lookup[#Headers],0))</f>
        <v>#N/A</v>
      </c>
      <c r="AT4" s="45" t="e">
        <f>INDEX(tbl_SGE_AB_2020[],MATCH(tbl_Apartment_Multi[[State]:[State]],tbl_SGE_AB_2020[[State]:[State]],0),MATCH(tbl_Apartment_Multi[[#Headers],[SGEe]],tbl_SGE_AB_2020[#Headers],0))</f>
        <v>#N/A</v>
      </c>
      <c r="AU4" s="45" t="e">
        <f>INDEX(tbl_SGE_AB_2020[],MATCH(tbl_Apartment_Multi[[State]:[State]],tbl_SGE_AB_2020[[State]:[State]],0),MATCH(tbl_Apartment_Multi[[#Headers],[SGEg]],tbl_SGE_AB_2020[#Headers],0))</f>
        <v>#N/A</v>
      </c>
      <c r="AV4" s="533" t="e">
        <f>INDEX(tbl_SGE_AB_2020[],MATCH(tbl_Apartment_Multi[[State]:[State]],tbl_SGE_AB_2020[[State]:[State]],0),MATCH(tbl_Apartment_Multi[[#Headers],[SGEd]],tbl_SGE_AB_2020[#Headers],0))</f>
        <v>#N/A</v>
      </c>
      <c r="AW4" s="50">
        <f>INDEX(tbl_Conversion_Factors[[Conversion Factors]:[Conversion Factors]],MATCH(tbl_Apartment_Multi[[#Headers],[CFelec]],tbl_Conversion_Factors[[Reference]:[Reference]],0))</f>
        <v>3.6</v>
      </c>
      <c r="AX4" s="50">
        <f>INDEX(tbl_Conversion_Factors[[Conversion Factors]:[Conversion Factors]],MATCH(tbl_Apartment_Multi[[#Headers],[CFdiesel]],tbl_Conversion_Factors[[Reference]:[Reference]],0))</f>
        <v>38.6</v>
      </c>
      <c r="AY4" s="45" t="e">
        <f>tbl_Apartment_Multi[[#This Row],[SGEe]]/tbl_Apartment_Multi[[#This Row],[CFelec]]</f>
        <v>#N/A</v>
      </c>
      <c r="AZ4" s="45" t="e">
        <f>tbl_Apartment_Multi[[#This Row],[SGEd]]/tbl_Apartment_Multi[[#This Row],[CFdiesel]]</f>
        <v>#N/A</v>
      </c>
      <c r="BA4" s="46">
        <f>IF(SUM(tbl_Apartment_Multi[[#This Row],[Electricity (%)]:[Diesel (%)]])=1,
SUM(tbl_Apartment_Multi[[#This Row],[Electricity (%)]]*tbl_Apartment_Multi[[#This Row],[SGEeMJ]],
tbl_Apartment_Multi[[#This Row],[Gas (%)]]*tbl_Apartment_Multi[[#This Row],[SGEg]],
tbl_Apartment_Multi[[#This Row],[Diesel (%)]]*tbl_Apartment_Multi[[#This Row],[SGEdMJ]]),0)</f>
        <v>0</v>
      </c>
      <c r="BB4" s="46" t="e">
        <f>INDEX(tbl_NGA_Factors_2021[],MATCH(tbl_Apartment_Multi[[State]:[State]],tbl_NGA_Factors_2021[[State]:[State]],0),MATCH(tbl_Apartment_Multi[[#Headers],[SGEe Scopes 1,2&amp;3]],tbl_NGA_Factors_2021[#Headers],0))</f>
        <v>#N/A</v>
      </c>
      <c r="BC4" s="46" t="e">
        <f>INDEX(tbl_NGA_Factors_2021[],MATCH(tbl_Apartment_Multi[[State]:[State]],tbl_NGA_Factors_2021[[State]:[State]],0),MATCH(tbl_Apartment_Multi[[#Headers],[SGEg Scopes 1,2&amp;3]],tbl_NGA_Factors_2021[#Headers],0))</f>
        <v>#N/A</v>
      </c>
      <c r="BD4" s="46" t="e">
        <f>INDEX(tbl_NGA_Factors_2021[],MATCH(tbl_Apartment_Multi[[State]:[State]],tbl_NGA_Factors_2021[[State]:[State]],0),MATCH(tbl_Apartment_Multi[[#Headers],[SGEd Scopes 1,2&amp;3]],tbl_NGA_Factors_2021[#Headers],0))</f>
        <v>#N/A</v>
      </c>
      <c r="BE4" s="46" t="e">
        <f>INDEX(tbl_NGA_Factors_2021[],MATCH(tbl_Apartment_Multi[[State]:[State]],tbl_NGA_Factors_2021[[State]:[State]],0),MATCH(tbl_Apartment_Multi[[#Headers],[SGEe Scopes 1&amp;2]],tbl_NGA_Factors_2021[#Headers],0))</f>
        <v>#N/A</v>
      </c>
      <c r="BF4" s="46" t="e">
        <f>INDEX(tbl_NGA_Factors_2021[],MATCH(tbl_Apartment_Multi[[State]:[State]],tbl_NGA_Factors_2021[[State]:[State]],0),MATCH(tbl_Apartment_Multi[[#Headers],[SGEg Scopes 1&amp;2]],tbl_NGA_Factors_2021[#Headers],0))</f>
        <v>#N/A</v>
      </c>
      <c r="BG4" s="46" t="e">
        <f>INDEX(tbl_NGA_Factors_2021[],MATCH(tbl_Apartment_Multi[[State]:[State]],tbl_NGA_Factors_2021[[State]:[State]],0),MATCH(tbl_Apartment_Multi[[#Headers],[SGEd Scopes 1&amp;2]],tbl_NGA_Factors_2021[#Headers],0))</f>
        <v>#N/A</v>
      </c>
      <c r="BH4" s="45" t="e">
        <f>SUM(tbl_Apartment_Multi[[#This Row],[Energy Intercept]],tbl_Apartment_Multi[[#This Row],[GCAC]],tbl_Apartment_Multi[[#This Row],[GCW]],tbl_Apartment_Multi[[#This Row],[GNCS]],tbl_Apartment_Multi[[#This Row],[Glift]],tbl_Apartment_Multi[[#This Row],[Gpool]],tbl_Apartment_Multi[[#This Row],[Ggym]],tbl_Apartment_Multi[[#This Row],[GCP]])*tbl_Apartment_Multi[[#This Row],[A]]</f>
        <v>#DIV/0!</v>
      </c>
      <c r="BI4" s="45" t="e">
        <f>SUM(Apartment_C_E_Intercept,tbl_Apartment_Multi[[#This Row],[GCAC]],tbl_Apartment_Multi[[#This Row],[GCW]],tbl_Apartment_Multi[[#This Row],[GNCS]],tbl_Apartment_Multi[[#This Row],[Glift]],tbl_Apartment_Multi[[#This Row],[Gpool]],tbl_Apartment_Multi[[#This Row],[Ggym]],tbl_Apartment_Multi[[#This Row],[GCP Separate Cap]])*tbl_Apartment_Multi[[#This Row],[A]]</f>
        <v>#DIV/0!</v>
      </c>
      <c r="BJ4" s="45">
        <f t="shared" ref="BJ4:BJ6" si="0">Apartment_State_Specific_Adjustment</f>
        <v>0.95</v>
      </c>
      <c r="BK4" s="45">
        <f t="shared" ref="BK4:BK6" si="1">Apartment_C_E_Intercept</f>
        <v>39.326700334909603</v>
      </c>
      <c r="BL4" s="45" t="e">
        <f>tbl_Apartment_Multi[[#This Row],[NCAC]]/tbl_Apartment_Multi[[#This Row],[Apartments]]*Apartment_C_E_CAC</f>
        <v>#DIV/0!</v>
      </c>
      <c r="BM4" s="45" t="e">
        <f>tbl_Apartment_Multi[[#This Row],[NCW]]/tbl_Apartment_Multi[[#This Row],[Apartments]]*Apartment_C_E_CW</f>
        <v>#DIV/0!</v>
      </c>
      <c r="BN4" s="45" t="e">
        <f>tbl_Apartment_Multi[[#This Row],[NNCS]]/tbl_Apartment_Multi[[#This Row],[Apartments]]*Apartment_C_E_NCS</f>
        <v>#DIV/0!</v>
      </c>
      <c r="BO4" s="45" t="e">
        <f>tbl_Apartment_Multi[[#This Row],[Nlift]]/tbl_Apartment_Multi[[#This Row],[Apartments]]*Apartment_C_E_lift</f>
        <v>#DIV/0!</v>
      </c>
      <c r="BP4" s="45">
        <f>IF(tbl_Apartment_Multi[[#This Row],[Pool]]="Temperature controlled pool",IF(tbl_Apartment_Multi[[#This Row],[TMPA]]=0,12,tbl_Apartment_Multi[[#This Row],[TMPA]])/12*Apartment_C_E_pool,IF(tbl_Apartment_Multi[[#This Row],[Pool]]="Unheated pool",IF(tbl_Apartment_Multi[[#This Row],[TMPA]]=0,12,tbl_Apartment_Multi[[#This Row],[TMPA]])/12*Apartment_C_E_pool_noheat,0))</f>
        <v>0</v>
      </c>
      <c r="BQ4" s="45">
        <f>IF(tbl_Apartment_Multi[[#This Row],[Gym]]="Yes",IF(tbl_Apartment_Multi[[#This Row],[TMGA]]=0,12,tbl_Apartment_Multi[[#This Row],[TMGA]])/12*Apartment_C_E_gym,0)</f>
        <v>0</v>
      </c>
      <c r="BR4" s="45" t="e">
        <f>SUM(tbl_Apartment_Multi[[#This Row],[GCPMV]],tbl_Apartment_Multi[[#This Row],[GCPNV]])</f>
        <v>#DIV/0!</v>
      </c>
      <c r="BS4" s="45" t="e">
        <f>MIN(tbl_Apartment_Multi[[#This Row],[Apartments]]*2,tbl_Apartment_Multi[[#This Row],[CPMV]])*Apartment_C_E_MVCP/tbl_Apartment_Multi[[#This Row],[Apartments]]</f>
        <v>#DIV/0!</v>
      </c>
      <c r="BT4" s="45" t="e">
        <f>MIN(tbl_Apartment_Multi[[#This Row],[Apartments]]*2-tbl_Apartment_Multi[[#This Row],[CPMV]],tbl_Apartment_Multi[[#This Row],[CPNV]])*Apartment_C_E_MVCP*Apartment_C_E_NVCPAdjusted/tbl_Apartment_Multi[[#This Row],[Apartments]]</f>
        <v>#DIV/0!</v>
      </c>
      <c r="BU4" s="45" t="e">
        <f>SUM(MIN(tbl_Apartment_Multi[[#This Row],[Apartments]]*2,tbl_Apartment_Multi[[#This Row],[CPMV]])*Apartment_C_E_MVCP,tbl_Apartment_Multi[[#This Row],[CPNV]]*Apartment_C_E_NVCP)/tbl_Apartment_Multi[[#This Row],[Apartments]]</f>
        <v>#DIV/0!</v>
      </c>
      <c r="BV4" s="36" t="e">
        <f>SUM(tbl_Apartment_Multi[[#This Row],[Orig correction Single Water meter with central AC]],tbl_Apartment_Multi[[#This Row],[Orig correction Single Water meter no central AC]],tbl_Apartment_Multi[[#This Row],[Orig correction Apt water meter, central AC, DHW]],tbl_Apartment_Multi[[#This Row],[Orig correction Apt water meter, no central AC, DHW]],tbl_Apartment_Multi[[#This Row],[Orig correction Apt water meter, central AC, no DHW]],tbl_Apartment_Multi[[#This Row],[Orig correction Apt water meter, no central AC, no DHW]])</f>
        <v>#DIV/0!</v>
      </c>
      <c r="BW4" s="36" t="e">
        <f>tbl_Apartment_Multi[[#This Row],[CentralColdWater]]*tbl_Apartment_Multi[[#This Row],[CentralACWater]]/tbl_Apartment_Multi[[#This Row],[Apartments]]</f>
        <v>#DIV/0!</v>
      </c>
      <c r="BX4" s="36" t="e">
        <f>tbl_Apartment_Multi[[#This Row],[CentralColdWater]]*(tbl_Apartment_Multi[[#This Row],[Apartments]]-tbl_Apartment_Multi[[#This Row],[CentralACWater]])/tbl_Apartment_Multi[[#This Row],[Apartments]]</f>
        <v>#DIV/0!</v>
      </c>
      <c r="BY4" s="36" t="e">
        <f>tbl_Apartment_Multi[[#This Row],[ColdWaterCentralDHW]]*tbl_Apartment_Multi[[#This Row],[CentralACWater]]/tbl_Apartment_Multi[[#This Row],[Apartments]]</f>
        <v>#DIV/0!</v>
      </c>
      <c r="BZ4" s="36" t="e">
        <f>tbl_Apartment_Multi[[#This Row],[ColdWaterCentralDHW]]*(tbl_Apartment_Multi[[#This Row],[Apartments]]-tbl_Apartment_Multi[[#This Row],[CentralACWater]])/tbl_Apartment_Multi[[#This Row],[Apartments]]</f>
        <v>#DIV/0!</v>
      </c>
      <c r="CA4" s="36" t="e">
        <f>tbl_Apartment_Multi[[#This Row],[ColdWaterCentralNoDHW]]*tbl_Apartment_Multi[[#This Row],[CentralACWater]]/tbl_Apartment_Multi[[#This Row],[Apartments]]</f>
        <v>#DIV/0!</v>
      </c>
      <c r="CB4" s="36" t="e">
        <f>tbl_Apartment_Multi[[#This Row],[ColdWaterCentralNoDHW]]*(tbl_Apartment_Multi[[#This Row],[Apartments]]-tbl_Apartment_Multi[[#This Row],[CentralACWater]])/tbl_Apartment_Multi[[#This Row],[Apartments]]</f>
        <v>#DIV/0!</v>
      </c>
      <c r="CC4" s="36">
        <f t="shared" ref="CC4:CC6" si="2">Apartment_C_W_SWMAC</f>
        <v>190</v>
      </c>
      <c r="CD4" s="36">
        <f t="shared" ref="CD4:CD6" si="3">Apartment_C_W_SWMNoAC</f>
        <v>144</v>
      </c>
      <c r="CE4" s="36">
        <f t="shared" ref="CE4:CE6" si="4">Apartment_C_W_AWMACDHW</f>
        <v>156</v>
      </c>
      <c r="CF4" s="36">
        <f t="shared" ref="CF4:CF6" si="5">Apartment_C_W_AWMNoACDHW</f>
        <v>110</v>
      </c>
      <c r="CG4" s="36">
        <f t="shared" ref="CG4:CG6" si="6">Apartment_C_W_AWMACNoDHW</f>
        <v>138</v>
      </c>
      <c r="CH4" s="36">
        <f t="shared" ref="CH4:CH6" si="7">Apartment_C_W_AWMNoACNoDHW</f>
        <v>92</v>
      </c>
      <c r="CI4" s="36" t="e">
        <f>tbl_Apartment_Multi[[#This Row],[ Number Single Water meter with central AC]]/tbl_Apartment_Multi[[Apartments]:[Apartments]]*Apartment_C_W_SWMAC</f>
        <v>#DIV/0!</v>
      </c>
      <c r="CJ4" s="36" t="e">
        <f>tbl_Apartment_Multi[[#This Row],[ Number Single Water meter no central AC]]/tbl_Apartment_Multi[[Apartments]:[Apartments]]*Apartment_C_W_SWMNoAC</f>
        <v>#DIV/0!</v>
      </c>
      <c r="CK4" s="36" t="e">
        <f>tbl_Apartment_Multi[[#This Row],[ Number Apt water meter, central AC, DHW]]/tbl_Apartment_Multi[[Apartments]:[Apartments]]*Apartment_C_W_AWMACDHW</f>
        <v>#DIV/0!</v>
      </c>
      <c r="CL4" s="36" t="e">
        <f>tbl_Apartment_Multi[[#This Row],[ Number Apt water meter, no central AC, DHW]]/tbl_Apartment_Multi[[Apartments]:[Apartments]]*Apartment_C_W_AWMNoACDHW</f>
        <v>#DIV/0!</v>
      </c>
      <c r="CM4" s="36" t="e">
        <f>tbl_Apartment_Multi[[#This Row],[ Number Apt water meter, central AC, no DHW]]/tbl_Apartment_Multi[[Apartments]:[Apartments]]*Apartment_C_W_AWMACNoDHW</f>
        <v>#DIV/0!</v>
      </c>
      <c r="CN4" s="36" t="e">
        <f>tbl_Apartment_Multi[[#This Row],[ Number Apt water meter, no central AC, no DHW]]/tbl_Apartment_Multi[[Apartments]:[Apartments]]*Apartment_C_W_AWMNoACNoDHW</f>
        <v>#DIV/0!</v>
      </c>
      <c r="CO4" s="44" t="e">
        <f>tbl_Apartment_Multi[[#This Row],[er]]*tbl_Apartment_Multi[[#This Row],[Apartments]]</f>
        <v>#DIV/0!</v>
      </c>
      <c r="CP4" s="48">
        <f>(tbl_Apartment_Multi[[#This Row],[Target Energy]]-7)/(-6/159)+Apartment_BF_Rating_Correction</f>
        <v>185.505</v>
      </c>
      <c r="CQ4" s="44" t="e">
        <f>tbl_Apartment_Multi[[#This Row],[Target Max Energy BF]]/100*tbl_Apartment_Multi[[er]:[er]]</f>
        <v>#DIV/0!</v>
      </c>
      <c r="CR4" s="44" t="e">
        <f>tbl_Apartment_Multi[[#This Row],[Target Max e]]*tbl_Apartment_Multi[[Apartments]:[Apartments]]</f>
        <v>#DIV/0!</v>
      </c>
      <c r="CS4" s="44" t="e">
        <f>tbl_Apartment_Multi[[#This Row],[Target Max CO2]]/tbl_Apartment_Multi[[EffGHG]:[EffGHG]]</f>
        <v>#DIV/0!</v>
      </c>
      <c r="CT4" s="44" t="e">
        <f>tbl_Apartment_Multi[[#This Row],[Target Max Energy (MJ)]]/tbl_Apartment_Multi[[#This Row],[Apartments]]</f>
        <v>#DIV/0!</v>
      </c>
      <c r="CU4" s="44" t="e">
        <f>ROUNDDOWN(tbl_Apartment_Multi[[#This Row],[Target Max Energy (MJ)]]*tbl_Apartment_Multi[[Electricity (%)]:[Electricity (%)]]/tbl_Apartment_Multi[[CFelec]:[CFelec]],0)</f>
        <v>#DIV/0!</v>
      </c>
      <c r="CV4" s="44" t="e">
        <f>ROUNDDOWN(tbl_Apartment_Multi[[#This Row],[Target Max Energy (MJ)]]*tbl_Apartment_Multi[[Gas (%)]:[Gas (%)]],0)</f>
        <v>#DIV/0!</v>
      </c>
      <c r="CW4" s="44" t="e">
        <f>ROUNDDOWN(tbl_Apartment_Multi[[#This Row],[Target Max Energy (MJ)]]*tbl_Apartment_Multi[[Diesel (%)]:[Diesel (%)]]/tbl_Apartment_Multi[[CFdiesel]:[CFdiesel]],0)</f>
        <v>#DIV/0!</v>
      </c>
      <c r="CX4" s="44" t="e">
        <f>SUM(tbl_Apartment_Multi[[#This Row],[Target Max Elec (kWh)]]*tbl_Apartment_Multi[[#This Row],[SGEe Scopes 1,2&amp;3]],
tbl_Apartment_Multi[[#This Row],[Target Max Gas (MJ)]]*tbl_Apartment_Multi[[#This Row],[SGEg Scopes 1,2&amp;3]],
tbl_Apartment_Multi[[#This Row],[Target Max Diesel (L)]]*tbl_Apartment_Multi[[#This Row],[SGEd Scopes 1,2&amp;3]])</f>
        <v>#DIV/0!</v>
      </c>
      <c r="CY4" s="44" t="e">
        <f>SUM(tbl_Apartment_Multi[[#This Row],[Target Max Elec (kWh)]]*tbl_Apartment_Multi[[#This Row],[SGEe Scopes 1&amp;2]],
tbl_Apartment_Multi[[#This Row],[Target Max Gas (MJ)]]*tbl_Apartment_Multi[[#This Row],[SGEg Scopes 1&amp;2]],
tbl_Apartment_Multi[[#This Row],[Target Max Diesel (L)]]*tbl_Apartment_Multi[[#This Row],[SGEd Scopes 1&amp;2]])</f>
        <v>#DIV/0!</v>
      </c>
      <c r="CZ4" s="47" t="e">
        <f>tbl_Apartment_Multi[[#This Row],[wr]]*tbl_Apartment_Multi[[#This Row],[Apartments]]</f>
        <v>#DIV/0!</v>
      </c>
      <c r="DA4" s="36">
        <f>(tbl_Apartment_Multi[[#This Row],[Target Water]]-7)/(-6/159)+Apartment_BF_Rating_Correction</f>
        <v>185.505</v>
      </c>
      <c r="DB4" s="47" t="e">
        <f>ROUNDDOWN(tbl_Apartment_Multi[[#This Row],[Target Max Water BF]]/100*tbl_Apartment_Multi[[wr]:[wr]]*tbl_Apartment_Multi[[Apartments]:[Apartments]],0)</f>
        <v>#DIV/0!</v>
      </c>
      <c r="DC4" s="47" t="e">
        <f>tbl_Apartment_Multi[[#This Row],[Target Max Water BF]]/100*tbl_Apartment_Multi[[wr]:[wr]]</f>
        <v>#DIV/0!</v>
      </c>
      <c r="DD4" s="36">
        <f>(LEFT(tbl_Apartment_Multi[[#Headers],[6.0* Max BF]],3)-7)/(-6/159)+Apartment_BF_Rating_Correction</f>
        <v>26.504999999999999</v>
      </c>
      <c r="DE4" s="36">
        <f>(LEFT(tbl_Apartment_Multi[[#Headers],[5.5* Max BF]],3)-7)/(-6/159)+Apartment_BF_Rating_Correction</f>
        <v>39.755000000000003</v>
      </c>
      <c r="DF4" s="36">
        <f>(LEFT(tbl_Apartment_Multi[[#Headers],[5.0* Max BF]],3)-7)/(-6/159)+Apartment_BF_Rating_Correction</f>
        <v>53.005000000000003</v>
      </c>
      <c r="DG4" s="36">
        <f>(LEFT(tbl_Apartment_Multi[[#Headers],[4.5* Max BF]],3)-7)/(-6/159)+Apartment_BF_Rating_Correction</f>
        <v>66.254999999999995</v>
      </c>
      <c r="DH4" s="36">
        <f>(LEFT(tbl_Apartment_Multi[[#Headers],[4.0* Max BF]],3)-7)/(-6/159)+Apartment_BF_Rating_Correction</f>
        <v>79.504999999999995</v>
      </c>
      <c r="DI4" s="36">
        <f>(LEFT(tbl_Apartment_Multi[[#Headers],[3.5* Max BF]],3)-7)/(-6/159)+Apartment_BF_Rating_Correction</f>
        <v>92.754999999999995</v>
      </c>
      <c r="DJ4" s="36">
        <f>(LEFT(tbl_Apartment_Multi[[#Headers],[3.0* Max BF]],3)-7)/(-6/159)+Apartment_BF_Rating_Correction</f>
        <v>106.005</v>
      </c>
      <c r="DK4" s="36">
        <f>(LEFT(tbl_Apartment_Multi[[#Headers],[2.5* Max BF]],3)-7)/(-6/159)+Apartment_BF_Rating_Correction</f>
        <v>119.255</v>
      </c>
      <c r="DL4" s="36">
        <f>(LEFT(tbl_Apartment_Multi[[#Headers],[2.0* Max BF]],3)-7)/(-6/159)+Apartment_BF_Rating_Correction</f>
        <v>132.505</v>
      </c>
      <c r="DM4" s="36">
        <f>(LEFT(tbl_Apartment_Multi[[#Headers],[1.5* Max BF]],3)-7)/(-6/159)+Apartment_BF_Rating_Correction</f>
        <v>145.755</v>
      </c>
      <c r="DN4" s="36">
        <f>(LEFT(tbl_Apartment_Multi[[#Headers],[1.0* Max BF]],3)-7)/(-6/159)+Apartment_BF_Rating_Correction</f>
        <v>159.005</v>
      </c>
      <c r="DO4" s="36">
        <f>(LEFT(tbl_Apartment_Multi[[#Headers],[0.0* Max BF]],3)-7)/(-6/159)+Apartment_BF_Rating_Correction</f>
        <v>185.505</v>
      </c>
      <c r="DP4" s="36" t="e">
        <f>tbl_Apartment_Multi[[#This Row],[6.0* Max BF]]/100*tbl_Apartment_Multi[[er]:[er]]</f>
        <v>#DIV/0!</v>
      </c>
      <c r="DQ4" s="36" t="e">
        <f>tbl_Apartment_Multi[[#This Row],[5.5* Max BF]]/100*tbl_Apartment_Multi[[er]:[er]]</f>
        <v>#DIV/0!</v>
      </c>
      <c r="DR4" s="36" t="e">
        <f>tbl_Apartment_Multi[[#This Row],[5.0* Max BF]]/100*tbl_Apartment_Multi[[er]:[er]]</f>
        <v>#DIV/0!</v>
      </c>
      <c r="DS4" s="36" t="e">
        <f>tbl_Apartment_Multi[[#This Row],[4.5* Max BF]]/100*tbl_Apartment_Multi[[er]:[er]]</f>
        <v>#DIV/0!</v>
      </c>
      <c r="DT4" s="36" t="e">
        <f>tbl_Apartment_Multi[[#This Row],[4.0* Max BF]]/100*tbl_Apartment_Multi[[er]:[er]]</f>
        <v>#DIV/0!</v>
      </c>
      <c r="DU4" s="36" t="e">
        <f>tbl_Apartment_Multi[[#This Row],[3.5* Max BF]]/100*tbl_Apartment_Multi[[er]:[er]]</f>
        <v>#DIV/0!</v>
      </c>
      <c r="DV4" s="36" t="e">
        <f>tbl_Apartment_Multi[[#This Row],[3.0* Max BF]]/100*tbl_Apartment_Multi[[er]:[er]]</f>
        <v>#DIV/0!</v>
      </c>
      <c r="DW4" s="36" t="e">
        <f>tbl_Apartment_Multi[[#This Row],[2.5* Max BF]]/100*tbl_Apartment_Multi[[er]:[er]]</f>
        <v>#DIV/0!</v>
      </c>
      <c r="DX4" s="36" t="e">
        <f>tbl_Apartment_Multi[[#This Row],[2.0* Max BF]]/100*tbl_Apartment_Multi[[er]:[er]]</f>
        <v>#DIV/0!</v>
      </c>
      <c r="DY4" s="36" t="e">
        <f>tbl_Apartment_Multi[[#This Row],[1.5* Max BF]]/100*tbl_Apartment_Multi[[er]:[er]]</f>
        <v>#DIV/0!</v>
      </c>
      <c r="DZ4" s="36" t="e">
        <f>tbl_Apartment_Multi[[#This Row],[1.0* Max BF]]/100*tbl_Apartment_Multi[[er]:[er]]</f>
        <v>#DIV/0!</v>
      </c>
      <c r="EA4" s="36" t="e">
        <f>tbl_Apartment_Multi[[#This Row],[0.0* Max BF]]/100*tbl_Apartment_Multi[[er]:[er]]</f>
        <v>#DIV/0!</v>
      </c>
      <c r="EB4" s="44" t="e">
        <f>tbl_Apartment_Multi[[#This Row],[6.0* Max e]]*tbl_Apartment_Multi[[Apartments]:[Apartments]]</f>
        <v>#DIV/0!</v>
      </c>
      <c r="EC4" s="44" t="e">
        <f>tbl_Apartment_Multi[[#This Row],[5.5* Max e]]*tbl_Apartment_Multi[[Apartments]:[Apartments]]</f>
        <v>#DIV/0!</v>
      </c>
      <c r="ED4" s="44" t="e">
        <f>tbl_Apartment_Multi[[#This Row],[5.0* Max e]]*tbl_Apartment_Multi[[Apartments]:[Apartments]]</f>
        <v>#DIV/0!</v>
      </c>
      <c r="EE4" s="44" t="e">
        <f>tbl_Apartment_Multi[[#This Row],[4.5* Max e]]*tbl_Apartment_Multi[[Apartments]:[Apartments]]</f>
        <v>#DIV/0!</v>
      </c>
      <c r="EF4" s="44" t="e">
        <f>tbl_Apartment_Multi[[#This Row],[4.0* Max e]]*tbl_Apartment_Multi[[Apartments]:[Apartments]]</f>
        <v>#DIV/0!</v>
      </c>
      <c r="EG4" s="44" t="e">
        <f>tbl_Apartment_Multi[[#This Row],[3.5* Max e]]*tbl_Apartment_Multi[[Apartments]:[Apartments]]</f>
        <v>#DIV/0!</v>
      </c>
      <c r="EH4" s="44" t="e">
        <f>tbl_Apartment_Multi[[#This Row],[3.0* Max e]]*tbl_Apartment_Multi[[Apartments]:[Apartments]]</f>
        <v>#DIV/0!</v>
      </c>
      <c r="EI4" s="44" t="e">
        <f>tbl_Apartment_Multi[[#This Row],[2.5* Max e]]*tbl_Apartment_Multi[[Apartments]:[Apartments]]</f>
        <v>#DIV/0!</v>
      </c>
      <c r="EJ4" s="44" t="e">
        <f>tbl_Apartment_Multi[[#This Row],[2.0* Max e]]*tbl_Apartment_Multi[[Apartments]:[Apartments]]</f>
        <v>#DIV/0!</v>
      </c>
      <c r="EK4" s="44" t="e">
        <f>tbl_Apartment_Multi[[#This Row],[1.5* Max e]]*tbl_Apartment_Multi[[Apartments]:[Apartments]]</f>
        <v>#DIV/0!</v>
      </c>
      <c r="EL4" s="44" t="e">
        <f>tbl_Apartment_Multi[[#This Row],[1.0* Max e]]*tbl_Apartment_Multi[[Apartments]:[Apartments]]</f>
        <v>#DIV/0!</v>
      </c>
      <c r="EM4" s="44" t="e">
        <f>tbl_Apartment_Multi[[#This Row],[0.0* Max e]]*tbl_Apartment_Multi[[Apartments]:[Apartments]]</f>
        <v>#DIV/0!</v>
      </c>
      <c r="EN4" s="44" t="e">
        <f>tbl_Apartment_Multi[[#This Row],[6.0* Max CO2]]/tbl_Apartment_Multi[[EffGHG]:[EffGHG]]</f>
        <v>#DIV/0!</v>
      </c>
      <c r="EO4" s="44" t="e">
        <f>tbl_Apartment_Multi[[#This Row],[5.5* Max CO2]]/tbl_Apartment_Multi[[EffGHG]:[EffGHG]]</f>
        <v>#DIV/0!</v>
      </c>
      <c r="EP4" s="44" t="e">
        <f>tbl_Apartment_Multi[[#This Row],[5.0* Max CO2]]/tbl_Apartment_Multi[[EffGHG]:[EffGHG]]</f>
        <v>#DIV/0!</v>
      </c>
      <c r="EQ4" s="44" t="e">
        <f>tbl_Apartment_Multi[[#This Row],[4.5* Max CO2]]/tbl_Apartment_Multi[[EffGHG]:[EffGHG]]</f>
        <v>#DIV/0!</v>
      </c>
      <c r="ER4" s="44" t="e">
        <f>tbl_Apartment_Multi[[#This Row],[4.0* Max CO2]]/tbl_Apartment_Multi[[EffGHG]:[EffGHG]]</f>
        <v>#DIV/0!</v>
      </c>
      <c r="ES4" s="44" t="e">
        <f>tbl_Apartment_Multi[[#This Row],[3.5* Max CO2]]/tbl_Apartment_Multi[[EffGHG]:[EffGHG]]</f>
        <v>#DIV/0!</v>
      </c>
      <c r="ET4" s="44" t="e">
        <f>tbl_Apartment_Multi[[#This Row],[3.0* Max CO2]]/tbl_Apartment_Multi[[EffGHG]:[EffGHG]]</f>
        <v>#DIV/0!</v>
      </c>
      <c r="EU4" s="44" t="e">
        <f>tbl_Apartment_Multi[[#This Row],[2.5* Max CO2]]/tbl_Apartment_Multi[[EffGHG]:[EffGHG]]</f>
        <v>#DIV/0!</v>
      </c>
      <c r="EV4" s="44" t="e">
        <f>tbl_Apartment_Multi[[#This Row],[2.0* Max CO2]]/tbl_Apartment_Multi[[EffGHG]:[EffGHG]]</f>
        <v>#DIV/0!</v>
      </c>
      <c r="EW4" s="44" t="e">
        <f>tbl_Apartment_Multi[[#This Row],[1.5* Max CO2]]/tbl_Apartment_Multi[[EffGHG]:[EffGHG]]</f>
        <v>#DIV/0!</v>
      </c>
      <c r="EX4" s="44" t="e">
        <f>tbl_Apartment_Multi[[#This Row],[1.0* Max CO2]]/tbl_Apartment_Multi[[EffGHG]:[EffGHG]]</f>
        <v>#DIV/0!</v>
      </c>
      <c r="EY4" s="44" t="e">
        <f>tbl_Apartment_Multi[[#This Row],[0.0* Max CO2]]/tbl_Apartment_Multi[[EffGHG]:[EffGHG]]</f>
        <v>#DIV/0!</v>
      </c>
      <c r="EZ4" s="44" t="e">
        <f>ROUNDDOWN(tbl_Apartment_Multi[[#This Row],[6.0* Max Energy (MJ)]]*tbl_Apartment_Multi[[Electricity (%)]:[Electricity (%)]]/tbl_Apartment_Multi[[CFelec]:[CFelec]],0)</f>
        <v>#DIV/0!</v>
      </c>
      <c r="FA4" s="44" t="e">
        <f>ROUNDDOWN(tbl_Apartment_Multi[[#This Row],[5.5* Max Energy (MJ)]]*tbl_Apartment_Multi[[Electricity (%)]:[Electricity (%)]]/tbl_Apartment_Multi[[CFelec]:[CFelec]],0)</f>
        <v>#DIV/0!</v>
      </c>
      <c r="FB4" s="44" t="e">
        <f>ROUNDDOWN(tbl_Apartment_Multi[[#This Row],[5.0* Max Energy (MJ)]]*tbl_Apartment_Multi[[Electricity (%)]:[Electricity (%)]]/tbl_Apartment_Multi[[CFelec]:[CFelec]],0)</f>
        <v>#DIV/0!</v>
      </c>
      <c r="FC4" s="44" t="e">
        <f>ROUNDDOWN(tbl_Apartment_Multi[[#This Row],[4.5* Max Energy (MJ)]]*tbl_Apartment_Multi[[Electricity (%)]:[Electricity (%)]]/tbl_Apartment_Multi[[CFelec]:[CFelec]],0)</f>
        <v>#DIV/0!</v>
      </c>
      <c r="FD4" s="44" t="e">
        <f>ROUNDDOWN(tbl_Apartment_Multi[[#This Row],[4.0* Max Energy (MJ)]]*tbl_Apartment_Multi[[Electricity (%)]:[Electricity (%)]]/tbl_Apartment_Multi[[CFelec]:[CFelec]],0)</f>
        <v>#DIV/0!</v>
      </c>
      <c r="FE4" s="44" t="e">
        <f>ROUNDDOWN(tbl_Apartment_Multi[[#This Row],[3.5* Max Energy (MJ)]]*tbl_Apartment_Multi[[Electricity (%)]:[Electricity (%)]]/tbl_Apartment_Multi[[CFelec]:[CFelec]],0)</f>
        <v>#DIV/0!</v>
      </c>
      <c r="FF4" s="44" t="e">
        <f>ROUNDDOWN(tbl_Apartment_Multi[[#This Row],[3.0* Max Energy (MJ)]]*tbl_Apartment_Multi[[Electricity (%)]:[Electricity (%)]]/tbl_Apartment_Multi[[CFelec]:[CFelec]],0)</f>
        <v>#DIV/0!</v>
      </c>
      <c r="FG4" s="44" t="e">
        <f>ROUNDDOWN(tbl_Apartment_Multi[[#This Row],[2.5* Max Energy (MJ)]]*tbl_Apartment_Multi[[Electricity (%)]:[Electricity (%)]]/tbl_Apartment_Multi[[CFelec]:[CFelec]],0)</f>
        <v>#DIV/0!</v>
      </c>
      <c r="FH4" s="44" t="e">
        <f>ROUNDDOWN(tbl_Apartment_Multi[[#This Row],[2.0* Max Energy (MJ)]]*tbl_Apartment_Multi[[Electricity (%)]:[Electricity (%)]]/tbl_Apartment_Multi[[CFelec]:[CFelec]],0)</f>
        <v>#DIV/0!</v>
      </c>
      <c r="FI4" s="44" t="e">
        <f>ROUNDDOWN(tbl_Apartment_Multi[[#This Row],[1.5* Max Energy (MJ)]]*tbl_Apartment_Multi[[Electricity (%)]:[Electricity (%)]]/tbl_Apartment_Multi[[CFelec]:[CFelec]],0)</f>
        <v>#DIV/0!</v>
      </c>
      <c r="FJ4" s="44" t="e">
        <f>ROUNDDOWN(tbl_Apartment_Multi[[#This Row],[1.0* Max Energy (MJ)]]*tbl_Apartment_Multi[[Electricity (%)]:[Electricity (%)]]/tbl_Apartment_Multi[[CFelec]:[CFelec]],0)</f>
        <v>#DIV/0!</v>
      </c>
      <c r="FK4" s="44" t="e">
        <f>ROUNDDOWN(tbl_Apartment_Multi[[#This Row],[0.0* Max Energy (MJ)]]*tbl_Apartment_Multi[[Electricity (%)]:[Electricity (%)]]/tbl_Apartment_Multi[[CFelec]:[CFelec]],0)</f>
        <v>#DIV/0!</v>
      </c>
      <c r="FL4" s="44" t="e">
        <f>ROUNDDOWN(tbl_Apartment_Multi[[#This Row],[6.0* Max Energy (MJ)]]*tbl_Apartment_Multi[[Gas (%)]:[Gas (%)]],0)</f>
        <v>#DIV/0!</v>
      </c>
      <c r="FM4" s="44" t="e">
        <f>ROUNDDOWN(tbl_Apartment_Multi[[#This Row],[5.5* Max Energy (MJ)]]*tbl_Apartment_Multi[[Gas (%)]:[Gas (%)]],0)</f>
        <v>#DIV/0!</v>
      </c>
      <c r="FN4" s="44" t="e">
        <f>ROUNDDOWN(tbl_Apartment_Multi[[#This Row],[5.0* Max Energy (MJ)]]*tbl_Apartment_Multi[[Gas (%)]:[Gas (%)]],0)</f>
        <v>#DIV/0!</v>
      </c>
      <c r="FO4" s="44" t="e">
        <f>ROUNDDOWN(tbl_Apartment_Multi[[#This Row],[4.5* Max Energy (MJ)]]*tbl_Apartment_Multi[[Gas (%)]:[Gas (%)]],0)</f>
        <v>#DIV/0!</v>
      </c>
      <c r="FP4" s="44" t="e">
        <f>ROUNDDOWN(tbl_Apartment_Multi[[#This Row],[4.0* Max Energy (MJ)]]*tbl_Apartment_Multi[[Gas (%)]:[Gas (%)]],0)</f>
        <v>#DIV/0!</v>
      </c>
      <c r="FQ4" s="44" t="e">
        <f>ROUNDDOWN(tbl_Apartment_Multi[[#This Row],[3.5* Max Energy (MJ)]]*tbl_Apartment_Multi[[Gas (%)]:[Gas (%)]],0)</f>
        <v>#DIV/0!</v>
      </c>
      <c r="FR4" s="44" t="e">
        <f>ROUNDDOWN(tbl_Apartment_Multi[[#This Row],[3.0* Max Energy (MJ)]]*tbl_Apartment_Multi[[Gas (%)]:[Gas (%)]],0)</f>
        <v>#DIV/0!</v>
      </c>
      <c r="FS4" s="44" t="e">
        <f>ROUNDDOWN(tbl_Apartment_Multi[[#This Row],[2.5* Max Energy (MJ)]]*tbl_Apartment_Multi[[Gas (%)]:[Gas (%)]],0)</f>
        <v>#DIV/0!</v>
      </c>
      <c r="FT4" s="44" t="e">
        <f>ROUNDDOWN(tbl_Apartment_Multi[[#This Row],[2.0* Max Energy (MJ)]]*tbl_Apartment_Multi[[Gas (%)]:[Gas (%)]],0)</f>
        <v>#DIV/0!</v>
      </c>
      <c r="FU4" s="44" t="e">
        <f>ROUNDDOWN(tbl_Apartment_Multi[[#This Row],[1.5* Max Energy (MJ)]]*tbl_Apartment_Multi[[Gas (%)]:[Gas (%)]],0)</f>
        <v>#DIV/0!</v>
      </c>
      <c r="FV4" s="44" t="e">
        <f>ROUNDDOWN(tbl_Apartment_Multi[[#This Row],[1.0* Max Energy (MJ)]]*tbl_Apartment_Multi[[Gas (%)]:[Gas (%)]],0)</f>
        <v>#DIV/0!</v>
      </c>
      <c r="FW4" s="44" t="e">
        <f>ROUNDDOWN(tbl_Apartment_Multi[[#This Row],[0.0* Max Energy (MJ)]]*tbl_Apartment_Multi[[Gas (%)]:[Gas (%)]],0)</f>
        <v>#DIV/0!</v>
      </c>
      <c r="FX4" s="44" t="e">
        <f>ROUNDDOWN(tbl_Apartment_Multi[[#This Row],[6.0* Max Energy (MJ)]]*tbl_Apartment_Multi[[Diesel (%)]:[Diesel (%)]]/tbl_Apartment_Multi[[CFdiesel]:[CFdiesel]],0)</f>
        <v>#DIV/0!</v>
      </c>
      <c r="FY4" s="44" t="e">
        <f>ROUNDDOWN(tbl_Apartment_Multi[[#This Row],[5.5* Max Energy (MJ)]]*tbl_Apartment_Multi[[Diesel (%)]:[Diesel (%)]]/tbl_Apartment_Multi[[CFdiesel]:[CFdiesel]],0)</f>
        <v>#DIV/0!</v>
      </c>
      <c r="FZ4" s="44" t="e">
        <f>ROUNDDOWN(tbl_Apartment_Multi[[#This Row],[5.0* Max Energy (MJ)]]*tbl_Apartment_Multi[[Diesel (%)]:[Diesel (%)]]/tbl_Apartment_Multi[[CFdiesel]:[CFdiesel]],0)</f>
        <v>#DIV/0!</v>
      </c>
      <c r="GA4" s="44" t="e">
        <f>ROUNDDOWN(tbl_Apartment_Multi[[#This Row],[4.5* Max Energy (MJ)]]*tbl_Apartment_Multi[[Diesel (%)]:[Diesel (%)]]/tbl_Apartment_Multi[[CFdiesel]:[CFdiesel]],0)</f>
        <v>#DIV/0!</v>
      </c>
      <c r="GB4" s="44" t="e">
        <f>ROUNDDOWN(tbl_Apartment_Multi[[#This Row],[4.0* Max Energy (MJ)]]*tbl_Apartment_Multi[[Diesel (%)]:[Diesel (%)]]/tbl_Apartment_Multi[[CFdiesel]:[CFdiesel]],0)</f>
        <v>#DIV/0!</v>
      </c>
      <c r="GC4" s="44" t="e">
        <f>ROUNDDOWN(tbl_Apartment_Multi[[#This Row],[3.5* Max Energy (MJ)]]*tbl_Apartment_Multi[[Diesel (%)]:[Diesel (%)]]/tbl_Apartment_Multi[[CFdiesel]:[CFdiesel]],0)</f>
        <v>#DIV/0!</v>
      </c>
      <c r="GD4" s="44" t="e">
        <f>ROUNDDOWN(tbl_Apartment_Multi[[#This Row],[3.0* Max Energy (MJ)]]*tbl_Apartment_Multi[[Diesel (%)]:[Diesel (%)]]/tbl_Apartment_Multi[[CFdiesel]:[CFdiesel]],0)</f>
        <v>#DIV/0!</v>
      </c>
      <c r="GE4" s="44" t="e">
        <f>ROUNDDOWN(tbl_Apartment_Multi[[#This Row],[2.5* Max Energy (MJ)]]*tbl_Apartment_Multi[[Diesel (%)]:[Diesel (%)]]/tbl_Apartment_Multi[[CFdiesel]:[CFdiesel]],0)</f>
        <v>#DIV/0!</v>
      </c>
      <c r="GF4" s="44" t="e">
        <f>ROUNDDOWN(tbl_Apartment_Multi[[#This Row],[2.0* Max Energy (MJ)]]*tbl_Apartment_Multi[[Diesel (%)]:[Diesel (%)]]/tbl_Apartment_Multi[[CFdiesel]:[CFdiesel]],0)</f>
        <v>#DIV/0!</v>
      </c>
      <c r="GG4" s="44" t="e">
        <f>ROUNDDOWN(tbl_Apartment_Multi[[#This Row],[1.5* Max Energy (MJ)]]*tbl_Apartment_Multi[[Diesel (%)]:[Diesel (%)]]/tbl_Apartment_Multi[[CFdiesel]:[CFdiesel]],0)</f>
        <v>#DIV/0!</v>
      </c>
      <c r="GH4" s="44" t="e">
        <f>ROUNDDOWN(tbl_Apartment_Multi[[#This Row],[1.0* Max Energy (MJ)]]*tbl_Apartment_Multi[[Diesel (%)]:[Diesel (%)]]/tbl_Apartment_Multi[[CFdiesel]:[CFdiesel]],0)</f>
        <v>#DIV/0!</v>
      </c>
      <c r="GI4" s="44" t="e">
        <f>ROUNDDOWN(tbl_Apartment_Multi[[#This Row],[0.0* Max Energy (MJ)]]*tbl_Apartment_Multi[[Diesel (%)]:[Diesel (%)]]/tbl_Apartment_Multi[[CFdiesel]:[CFdiesel]],0)</f>
        <v>#DIV/0!</v>
      </c>
      <c r="GJ4" s="44" t="e">
        <f>ROUNDDOWN(tbl_Apartment_Multi[[#This Row],[6.0* Max BF]]/100*tbl_Apartment_Multi[[wr]:[wr]]*tbl_Apartment_Multi[[Apartments]:[Apartments]],0)</f>
        <v>#DIV/0!</v>
      </c>
      <c r="GK4" s="44" t="e">
        <f>ROUNDDOWN(tbl_Apartment_Multi[[#This Row],[5.5* Max BF]]/100*tbl_Apartment_Multi[[wr]:[wr]]*tbl_Apartment_Multi[[Apartments]:[Apartments]],0)</f>
        <v>#DIV/0!</v>
      </c>
      <c r="GL4" s="44" t="e">
        <f>ROUNDDOWN(tbl_Apartment_Multi[[#This Row],[5.0* Max BF]]/100*tbl_Apartment_Multi[[wr]:[wr]]*tbl_Apartment_Multi[[Apartments]:[Apartments]],0)</f>
        <v>#DIV/0!</v>
      </c>
      <c r="GM4" s="44" t="e">
        <f>ROUNDDOWN(tbl_Apartment_Multi[[#This Row],[4.5* Max BF]]/100*tbl_Apartment_Multi[[wr]:[wr]]*tbl_Apartment_Multi[[Apartments]:[Apartments]],0)</f>
        <v>#DIV/0!</v>
      </c>
      <c r="GN4" s="44" t="e">
        <f>ROUNDDOWN(tbl_Apartment_Multi[[#This Row],[4.0* Max BF]]/100*tbl_Apartment_Multi[[wr]:[wr]]*tbl_Apartment_Multi[[Apartments]:[Apartments]],0)</f>
        <v>#DIV/0!</v>
      </c>
      <c r="GO4" s="44" t="e">
        <f>ROUNDDOWN(tbl_Apartment_Multi[[#This Row],[3.5* Max BF]]/100*tbl_Apartment_Multi[[wr]:[wr]]*tbl_Apartment_Multi[[Apartments]:[Apartments]],0)</f>
        <v>#DIV/0!</v>
      </c>
      <c r="GP4" s="44" t="e">
        <f>ROUNDDOWN(tbl_Apartment_Multi[[#This Row],[3.0* Max BF]]/100*tbl_Apartment_Multi[[wr]:[wr]]*tbl_Apartment_Multi[[Apartments]:[Apartments]],0)</f>
        <v>#DIV/0!</v>
      </c>
      <c r="GQ4" s="44" t="e">
        <f>ROUNDDOWN(tbl_Apartment_Multi[[#This Row],[2.5* Max BF]]/100*tbl_Apartment_Multi[[wr]:[wr]]*tbl_Apartment_Multi[[Apartments]:[Apartments]],0)</f>
        <v>#DIV/0!</v>
      </c>
      <c r="GR4" s="44" t="e">
        <f>ROUNDDOWN(tbl_Apartment_Multi[[#This Row],[2.0* Max BF]]/100*tbl_Apartment_Multi[[wr]:[wr]]*tbl_Apartment_Multi[[Apartments]:[Apartments]],0)</f>
        <v>#DIV/0!</v>
      </c>
      <c r="GS4" s="44" t="e">
        <f>ROUNDDOWN(tbl_Apartment_Multi[[#This Row],[1.5* Max BF]]/100*tbl_Apartment_Multi[[wr]:[wr]]*tbl_Apartment_Multi[[Apartments]:[Apartments]],0)</f>
        <v>#DIV/0!</v>
      </c>
      <c r="GT4" s="44" t="e">
        <f>ROUNDDOWN(tbl_Apartment_Multi[[#This Row],[1.0* Max BF]]/100*tbl_Apartment_Multi[[wr]:[wr]]*tbl_Apartment_Multi[[Apartments]:[Apartments]],0)</f>
        <v>#DIV/0!</v>
      </c>
      <c r="GU4" s="44" t="e">
        <f>ROUNDDOWN(tbl_Apartment_Multi[[#This Row],[0.0* Max BF]]/100*tbl_Apartment_Multi[[wr]:[wr]]*tbl_Apartment_Multi[[Apartments]:[Apartments]],0)</f>
        <v>#DIV/0!</v>
      </c>
      <c r="GV4" s="44" t="e">
        <f>SUM(tbl_Apartment_Multi[[#This Row],[Electricity]]*(1-tbl_Apartment_Multi[[#This Row],[GP]])*tbl_Apartment_Multi[[#This Row],[SGEe Scopes 1,2&amp;3]],
tbl_Apartment_Multi[[#This Row],[Gas]]*tbl_Apartment_Multi[[#This Row],[SGEg Scopes 1,2&amp;3]],
tbl_Apartment_Multi[[#This Row],[Diesel]]*tbl_Apartment_Multi[[#This Row],[SGEd Scopes 1,2&amp;3]])</f>
        <v>#N/A</v>
      </c>
      <c r="GW4" s="44" t="e">
        <f>SUM(tbl_Apartment_Multi[[#This Row],[Electricity]]*(1-tbl_Apartment_Multi[[#This Row],[GP]])*tbl_Apartment_Multi[[#This Row],[SGEe Scopes 1&amp;2]],
tbl_Apartment_Multi[[#This Row],[Gas]]*tbl_Apartment_Multi[[#This Row],[SGEg Scopes 1&amp;2]],
tbl_Apartment_Multi[[#This Row],[Diesel]]*tbl_Apartment_Multi[[#This Row],[SGEd Scopes 1&amp;2]])</f>
        <v>#N/A</v>
      </c>
      <c r="GX4" s="45" t="e">
        <f>IF(tbl_Apartment_Multi[[#This Row],[Energy Star Decimal (with GP)]]&lt;1,0,MIN(ROUNDDOWN(tbl_Apartment_Multi[[#This Row],[Energy Star Decimal (with GP)]]*2,0)/2,6))</f>
        <v>#N/A</v>
      </c>
      <c r="GY4" s="45" t="e">
        <f>((tbl_Apartment_Multi[[#This Row],[e-BF (with GP)]]*(-6/159)+7)*2)/2</f>
        <v>#N/A</v>
      </c>
      <c r="GZ4" s="45" t="e">
        <f>IF(tbl_Apartment_Multi[[#This Row],[Energy Star Decimal (no GP)]]&lt;1,0,MIN(ROUNDDOWN(tbl_Apartment_Multi[[#This Row],[Energy Star Decimal (no GP)]]*2,0)/2,6))</f>
        <v>#N/A</v>
      </c>
      <c r="HA4" s="45" t="e">
        <f>((tbl_Apartment_Multi[[#This Row],[e-BF (no GP)]]*(-6/159)+7)*2)/2</f>
        <v>#N/A</v>
      </c>
      <c r="HB4" s="45" t="e">
        <f>SUM(tbl_Apartment_Multi[[#This Row],[Electricity]]*(1-tbl_Apartment_Multi[[#This Row],[GP]])*tbl_Apartment_Multi[[#This Row],[SGEe]],
tbl_Apartment_Multi[[#This Row],[Gas]]*tbl_Apartment_Multi[[#This Row],[SGEg]],
tbl_Apartment_Multi[[#This Row],[Diesel]]*tbl_Apartment_Multi[[#This Row],[SGEd]])
/tbl_Apartment_Multi[[#This Row],[Apartments]]</f>
        <v>#N/A</v>
      </c>
      <c r="HC4" s="45" t="e">
        <f>SUM(tbl_Apartment_Multi[[#This Row],[Electricity]]*tbl_Apartment_Multi[[#This Row],[SGEe]],
tbl_Apartment_Multi[[#This Row],[Gas]]*tbl_Apartment_Multi[[#This Row],[SGEg]],
tbl_Apartment_Multi[[#This Row],[Diesel]]*tbl_Apartment_Multi[[#This Row],[SGEd]])
/tbl_Apartment_Multi[[#This Row],[Apartments]]</f>
        <v>#N/A</v>
      </c>
      <c r="HD4" s="45" t="e">
        <f>tbl_Apartment_Multi[[#This Row],[e (with GP)]]/tbl_Apartment_Multi[[#This Row],[er]]*100</f>
        <v>#N/A</v>
      </c>
      <c r="HE4" s="45" t="e">
        <f>tbl_Apartment_Multi[[#This Row],[e (no GP)]]/tbl_Apartment_Multi[[#This Row],[er]]*100</f>
        <v>#N/A</v>
      </c>
      <c r="HF4" s="45" t="e">
        <f>IF(tbl_Apartment_Multi[[#This Row],[Water Star Decimal (with recyc)]]&lt;1,0,MIN(ROUNDDOWN(tbl_Apartment_Multi[[#This Row],[Water Star Decimal (with recyc)]]*2,0)/2,6))</f>
        <v>#DIV/0!</v>
      </c>
      <c r="HG4" s="46" t="e">
        <f>((tbl_Apartment_Multi[[#This Row],[w-BF (with recyc)]]*(-6/159)+7)*2)/2</f>
        <v>#DIV/0!</v>
      </c>
      <c r="HH4" s="45" t="e">
        <f>IF(tbl_Apartment_Multi[[#This Row],[Water Star Decimal (no recyc)]]&lt;1,0,MIN(ROUNDDOWN(tbl_Apartment_Multi[[#This Row],[Water Star Decimal (no recyc)]]*2,0)/2,6))</f>
        <v>#DIV/0!</v>
      </c>
      <c r="HI4" s="262" t="e">
        <f>((tbl_Apartment_Multi[[#This Row],[w-BF (no recyc)]]*(-6/159)+7)*2)/2</f>
        <v>#DIV/0!</v>
      </c>
      <c r="HJ4" s="36" t="e">
        <f>tbl_Apartment_Multi[[#This Row],[Water]]*(1-tbl_Apartment_Multi[[#This Row],[RW]])/tbl_Apartment_Multi[[#This Row],[Apartments]]</f>
        <v>#DIV/0!</v>
      </c>
      <c r="HK4" s="36" t="e">
        <f>tbl_Apartment_Multi[[#This Row],[Water]]/tbl_Apartment_Multi[[#This Row],[Apartments]]</f>
        <v>#DIV/0!</v>
      </c>
      <c r="HL4" s="36" t="e">
        <f>tbl_Apartment_Multi[[#This Row],[w (with recyc)]]/tbl_Apartment_Multi[[#This Row],[wr]]*100</f>
        <v>#DIV/0!</v>
      </c>
      <c r="HM4" s="36" t="e">
        <f>tbl_Apartment_Multi[[#This Row],[w (no recyc)]]/tbl_Apartment_Multi[[#This Row],[wr]]*100</f>
        <v>#DIV/0!</v>
      </c>
    </row>
    <row r="5" spans="1:221" ht="16.5" customHeight="1">
      <c r="A5" s="484">
        <v>5.3</v>
      </c>
      <c r="B5" s="484">
        <v>4.8</v>
      </c>
      <c r="C5" s="485">
        <v>7000</v>
      </c>
      <c r="D5" s="485">
        <v>788</v>
      </c>
      <c r="E5" s="485">
        <v>0</v>
      </c>
      <c r="F5" s="485">
        <v>283</v>
      </c>
      <c r="G5" s="485">
        <v>505</v>
      </c>
      <c r="H5" s="485">
        <v>591</v>
      </c>
      <c r="I5" s="485" t="s">
        <v>652</v>
      </c>
      <c r="J5" s="485">
        <v>12</v>
      </c>
      <c r="K5" s="485" t="s">
        <v>653</v>
      </c>
      <c r="L5" s="485">
        <v>12</v>
      </c>
      <c r="M5" s="485">
        <v>554</v>
      </c>
      <c r="N5" s="485">
        <v>436</v>
      </c>
      <c r="O5" s="485">
        <v>473</v>
      </c>
      <c r="P5" s="485">
        <v>103</v>
      </c>
      <c r="Q5" s="485">
        <v>212</v>
      </c>
      <c r="R5" s="485">
        <v>283</v>
      </c>
      <c r="S5" s="487">
        <v>1</v>
      </c>
      <c r="T5" s="487">
        <v>0</v>
      </c>
      <c r="U5" s="487">
        <v>0</v>
      </c>
      <c r="V5" s="126">
        <f>tbl_Apartment_Multi[[#This Row],[Target Max Energy BF]]</f>
        <v>45.055000000000007</v>
      </c>
      <c r="W5" s="42">
        <f>tbl_Apartment_Multi[[#This Row],[Predicted Emissions]]</f>
        <v>2633846.1256267559</v>
      </c>
      <c r="X5" s="42">
        <f>tbl_Apartment_Multi[[#This Row],[Target Max CO2]]</f>
        <v>1186679.371901135</v>
      </c>
      <c r="Y5" s="42">
        <f>tbl_Apartment_Multi[[#This Row],[Target Max e]]</f>
        <v>1505.9382892146384</v>
      </c>
      <c r="Z5" s="42">
        <f>tbl_Apartment_Multi[[#This Row],[Target Max Energy Intensity]]</f>
        <v>6023.7531568585528</v>
      </c>
      <c r="AA5" s="42">
        <f>tbl_Apartment_Multi[[#This Row],[Target Scopes 1,2&amp;3]]</f>
        <v>237335.75999999998</v>
      </c>
      <c r="AB5" s="42">
        <f>tbl_Apartment_Multi[[#This Row],[Target Scopes 1&amp;2]]</f>
        <v>210965.12</v>
      </c>
      <c r="AC5" s="42">
        <f>tbl_Apartment_Multi[[#This Row],[Target Max Elec (kWh)]]</f>
        <v>1318532</v>
      </c>
      <c r="AD5" s="42">
        <f>tbl_Apartment_Multi[[#This Row],[Target Max Gas (MJ)]]</f>
        <v>0</v>
      </c>
      <c r="AE5" s="42">
        <f>tbl_Apartment_Multi[[#This Row],[Target Max Diesel (L)]]</f>
        <v>0</v>
      </c>
      <c r="AF5" s="126">
        <f>tbl_Apartment_Multi[[#This Row],[Target Max Water BF]]</f>
        <v>58.305000000000007</v>
      </c>
      <c r="AG5" s="42">
        <f>tbl_Apartment_Multi[[#This Row],[Predicted Water]]</f>
        <v>111964</v>
      </c>
      <c r="AH5" s="42">
        <f>tbl_Apartment_Multi[[#This Row],[Target Max Water (kL)]]</f>
        <v>65280</v>
      </c>
      <c r="AI5" s="378">
        <f>tbl_Apartment_Multi[[#This Row],[Target Max Water Intensity]]</f>
        <v>82.843413959390872</v>
      </c>
      <c r="AJ5" s="285">
        <v>857096</v>
      </c>
      <c r="AK5" s="285">
        <v>2776993</v>
      </c>
      <c r="AL5" s="285">
        <v>7993</v>
      </c>
      <c r="AM5" s="43">
        <v>0</v>
      </c>
      <c r="AN5" s="285">
        <v>23761</v>
      </c>
      <c r="AO5" s="43">
        <v>0</v>
      </c>
      <c r="AP5" s="45" t="str">
        <f>INDEX(tbl_Climate_Lookup[],MATCH(tbl_Apartment_Multi[[Postcode]:[Postcode]],tbl_Climate_Lookup[[Postcode]:[Postcode]],0),MATCH(tbl_Apartment_Multi[[#Headers],[State]],tbl_Climate_Lookup[#Headers],0))</f>
        <v>TAS</v>
      </c>
      <c r="AQ5" s="45">
        <f>INDEX(tbl_Climate_Lookup[],MATCH(tbl_Apartment_Multi[[Postcode]:[Postcode]],tbl_Climate_Lookup[[Postcode]:[Postcode]],0),MATCH(tbl_Apartment_Multi[[#Headers],[Climate zone]],tbl_Climate_Lookup[#Headers],0))</f>
        <v>26</v>
      </c>
      <c r="AR5" s="169">
        <f>INDEX(tbl_Climate_Lookup[],MATCH(tbl_Apartment_Multi[[Postcode]:[Postcode]],tbl_Climate_Lookup[[Postcode]:[Postcode]],0),MATCH(tbl_Apartment_Multi[[#Headers],[HDD]],tbl_Climate_Lookup[#Headers],0))</f>
        <v>2049</v>
      </c>
      <c r="AS5" s="169">
        <f>INDEX(tbl_Climate_Lookup[],MATCH(tbl_Apartment_Multi[[Postcode]:[Postcode]],tbl_Climate_Lookup[[Postcode]:[Postcode]],0),MATCH(tbl_Apartment_Multi[[#Headers],[CDD]],tbl_Climate_Lookup[#Headers],0))</f>
        <v>29</v>
      </c>
      <c r="AT5" s="45">
        <f>INDEX(tbl_SGE_AB_2020[],MATCH(tbl_Apartment_Multi[[State]:[State]],tbl_SGE_AB_2020[[State]:[State]],0),MATCH(tbl_Apartment_Multi[[#Headers],[SGEe]],tbl_SGE_AB_2020[#Headers],0))</f>
        <v>0.9</v>
      </c>
      <c r="AU5" s="45">
        <f>INDEX(tbl_SGE_AB_2020[],MATCH(tbl_Apartment_Multi[[State]:[State]],tbl_SGE_AB_2020[[State]:[State]],0),MATCH(tbl_Apartment_Multi[[#Headers],[SGEg]],tbl_SGE_AB_2020[#Headers],0))</f>
        <v>6.4630000000000007E-2</v>
      </c>
      <c r="AV5" s="533">
        <f>INDEX(tbl_SGE_AB_2020[],MATCH(tbl_Apartment_Multi[[State]:[State]],tbl_SGE_AB_2020[[State]:[State]],0),MATCH(tbl_Apartment_Multi[[#Headers],[SGEd]],tbl_SGE_AB_2020[#Headers],0))</f>
        <v>2.8487</v>
      </c>
      <c r="AW5" s="50">
        <f>INDEX(tbl_Conversion_Factors[[Conversion Factors]:[Conversion Factors]],MATCH(tbl_Apartment_Multi[[#Headers],[CFelec]],tbl_Conversion_Factors[[Reference]:[Reference]],0))</f>
        <v>3.6</v>
      </c>
      <c r="AX5" s="50">
        <f>INDEX(tbl_Conversion_Factors[[Conversion Factors]:[Conversion Factors]],MATCH(tbl_Apartment_Multi[[#Headers],[CFdiesel]],tbl_Conversion_Factors[[Reference]:[Reference]],0))</f>
        <v>38.6</v>
      </c>
      <c r="AY5" s="45">
        <f>tbl_Apartment_Multi[[#This Row],[SGEe]]/tbl_Apartment_Multi[[#This Row],[CFelec]]</f>
        <v>0.25</v>
      </c>
      <c r="AZ5" s="45">
        <f>tbl_Apartment_Multi[[#This Row],[SGEd]]/tbl_Apartment_Multi[[#This Row],[CFdiesel]]</f>
        <v>7.3800518134715026E-2</v>
      </c>
      <c r="BA5" s="46">
        <f>IF(SUM(tbl_Apartment_Multi[[#This Row],[Electricity (%)]:[Diesel (%)]])=1,
SUM(tbl_Apartment_Multi[[#This Row],[Electricity (%)]]*tbl_Apartment_Multi[[#This Row],[SGEeMJ]],
tbl_Apartment_Multi[[#This Row],[Gas (%)]]*tbl_Apartment_Multi[[#This Row],[SGEg]],
tbl_Apartment_Multi[[#This Row],[Diesel (%)]]*tbl_Apartment_Multi[[#This Row],[SGEdMJ]]),0)</f>
        <v>0.25</v>
      </c>
      <c r="BB5" s="46">
        <f>INDEX(tbl_NGA_Factors_2021[],MATCH(tbl_Apartment_Multi[[State]:[State]],tbl_NGA_Factors_2021[[State]:[State]],0),MATCH(tbl_Apartment_Multi[[#Headers],[SGEe Scopes 1,2&amp;3]],tbl_NGA_Factors_2021[#Headers],0))</f>
        <v>0.18</v>
      </c>
      <c r="BC5" s="46">
        <f>INDEX(tbl_NGA_Factors_2021[],MATCH(tbl_Apartment_Multi[[State]:[State]],tbl_NGA_Factors_2021[[State]:[State]],0),MATCH(tbl_Apartment_Multi[[#Headers],[SGEg Scopes 1,2&amp;3]],tbl_NGA_Factors_2021[#Headers],0))</f>
        <v>5.1529999999999999E-2</v>
      </c>
      <c r="BD5" s="46">
        <f>INDEX(tbl_NGA_Factors_2021[],MATCH(tbl_Apartment_Multi[[State]:[State]],tbl_NGA_Factors_2021[[State]:[State]],0),MATCH(tbl_Apartment_Multi[[#Headers],[SGEd Scopes 1,2&amp;3]],tbl_NGA_Factors_2021[#Headers],0))</f>
        <v>2.8486799999999999</v>
      </c>
      <c r="BE5" s="46">
        <f>INDEX(tbl_NGA_Factors_2021[],MATCH(tbl_Apartment_Multi[[State]:[State]],tbl_NGA_Factors_2021[[State]:[State]],0),MATCH(tbl_Apartment_Multi[[#Headers],[SGEe Scopes 1&amp;2]],tbl_NGA_Factors_2021[#Headers],0))</f>
        <v>0.16</v>
      </c>
      <c r="BF5" s="46">
        <f>INDEX(tbl_NGA_Factors_2021[],MATCH(tbl_Apartment_Multi[[State]:[State]],tbl_NGA_Factors_2021[[State]:[State]],0),MATCH(tbl_Apartment_Multi[[#Headers],[SGEg Scopes 1&amp;2]],tbl_NGA_Factors_2021[#Headers],0))</f>
        <v>5.1529999999999999E-2</v>
      </c>
      <c r="BG5" s="46">
        <f>INDEX(tbl_NGA_Factors_2021[],MATCH(tbl_Apartment_Multi[[State]:[State]],tbl_NGA_Factors_2021[[State]:[State]],0),MATCH(tbl_Apartment_Multi[[#Headers],[SGEd Scopes 1&amp;2]],tbl_NGA_Factors_2021[#Headers],0))</f>
        <v>2.7097199999999999</v>
      </c>
      <c r="BH5" s="45">
        <f>SUM(tbl_Apartment_Multi[[#This Row],[Energy Intercept]],tbl_Apartment_Multi[[#This Row],[GCAC]],tbl_Apartment_Multi[[#This Row],[GCW]],tbl_Apartment_Multi[[#This Row],[GNCS]],tbl_Apartment_Multi[[#This Row],[Glift]],tbl_Apartment_Multi[[#This Row],[Gpool]],tbl_Apartment_Multi[[#This Row],[Ggym]],tbl_Apartment_Multi[[#This Row],[GCP]])*tbl_Apartment_Multi[[#This Row],[A]]</f>
        <v>3342.4443218613656</v>
      </c>
      <c r="BI5" s="45">
        <f>SUM(Apartment_C_E_Intercept,tbl_Apartment_Multi[[#This Row],[GCAC]],tbl_Apartment_Multi[[#This Row],[GCW]],tbl_Apartment_Multi[[#This Row],[GNCS]],tbl_Apartment_Multi[[#This Row],[Glift]],tbl_Apartment_Multi[[#This Row],[Gpool]],tbl_Apartment_Multi[[#This Row],[Ggym]],tbl_Apartment_Multi[[#This Row],[GCP Separate Cap]])*tbl_Apartment_Multi[[#This Row],[A]]</f>
        <v>3342.444321879419</v>
      </c>
      <c r="BJ5" s="45">
        <f t="shared" si="0"/>
        <v>0.95</v>
      </c>
      <c r="BK5" s="45">
        <f t="shared" si="1"/>
        <v>39.326700334909603</v>
      </c>
      <c r="BL5" s="45">
        <f>tbl_Apartment_Multi[[#This Row],[NCAC]]/tbl_Apartment_Multi[[#This Row],[Apartments]]*Apartment_C_E_CAC</f>
        <v>0</v>
      </c>
      <c r="BM5" s="45">
        <f>tbl_Apartment_Multi[[#This Row],[NCW]]/tbl_Apartment_Multi[[#This Row],[Apartments]]*Apartment_C_E_CW</f>
        <v>958.61009117555477</v>
      </c>
      <c r="BN5" s="45">
        <f>tbl_Apartment_Multi[[#This Row],[NNCS]]/tbl_Apartment_Multi[[#This Row],[Apartments]]*Apartment_C_E_NCS</f>
        <v>0</v>
      </c>
      <c r="BO5" s="45">
        <f>tbl_Apartment_Multi[[#This Row],[Nlift]]/tbl_Apartment_Multi[[#This Row],[Apartments]]*Apartment_C_E_lift</f>
        <v>536.12594295025201</v>
      </c>
      <c r="BP5" s="45">
        <f>IF(tbl_Apartment_Multi[[#This Row],[Pool]]="Temperature controlled pool",IF(tbl_Apartment_Multi[[#This Row],[TMPA]]=0,12,tbl_Apartment_Multi[[#This Row],[TMPA]])/12*Apartment_C_E_pool,IF(tbl_Apartment_Multi[[#This Row],[Pool]]="Unheated pool",IF(tbl_Apartment_Multi[[#This Row],[TMPA]]=0,12,tbl_Apartment_Multi[[#This Row],[TMPA]])/12*Apartment_C_E_pool_noheat,0))</f>
        <v>1040.58055956421</v>
      </c>
      <c r="BQ5" s="45">
        <f>IF(tbl_Apartment_Multi[[#This Row],[Gym]]="Yes",IF(tbl_Apartment_Multi[[#This Row],[TMGA]]=0,12,tbl_Apartment_Multi[[#This Row],[TMGA]])/12*Apartment_C_E_gym,0)</f>
        <v>470.071920647561</v>
      </c>
      <c r="BR5" s="45">
        <f>SUM(tbl_Apartment_Multi[[#This Row],[GCPMV]],tbl_Apartment_Multi[[#This Row],[GCPNV]])</f>
        <v>473.64722939210765</v>
      </c>
      <c r="BS5" s="45">
        <f>MIN(tbl_Apartment_Multi[[#This Row],[Apartments]]*2,tbl_Apartment_Multi[[#This Row],[CPMV]])*Apartment_C_E_MVCP/tbl_Apartment_Multi[[#This Row],[Apartments]]</f>
        <v>361.11439657405577</v>
      </c>
      <c r="BT5" s="45">
        <f>MIN(tbl_Apartment_Multi[[#This Row],[Apartments]]*2-tbl_Apartment_Multi[[#This Row],[CPMV]],tbl_Apartment_Multi[[#This Row],[CPNV]])*Apartment_C_E_MVCP*Apartment_C_E_NVCPAdjusted/tbl_Apartment_Multi[[#This Row],[Apartments]]</f>
        <v>112.53283281805189</v>
      </c>
      <c r="BU5" s="45">
        <f>SUM(MIN(tbl_Apartment_Multi[[#This Row],[Apartments]]*2,tbl_Apartment_Multi[[#This Row],[CPMV]])*Apartment_C_E_MVCP,tbl_Apartment_Multi[[#This Row],[CPNV]]*Apartment_C_E_NVCP)/tbl_Apartment_Multi[[#This Row],[Apartments]]</f>
        <v>473.64722941111154</v>
      </c>
      <c r="BV5" s="36">
        <f>SUM(tbl_Apartment_Multi[[#This Row],[Orig correction Single Water meter with central AC]],tbl_Apartment_Multi[[#This Row],[Orig correction Single Water meter no central AC]],tbl_Apartment_Multi[[#This Row],[Orig correction Apt water meter, central AC, DHW]],tbl_Apartment_Multi[[#This Row],[Orig correction Apt water meter, no central AC, DHW]],tbl_Apartment_Multi[[#This Row],[Orig correction Apt water meter, central AC, no DHW]],tbl_Apartment_Multi[[#This Row],[Orig correction Apt water meter, no central AC, no DHW]])</f>
        <v>142.08629441624365</v>
      </c>
      <c r="BW5" s="36">
        <f>tbl_Apartment_Multi[[#This Row],[CentralColdWater]]*tbl_Apartment_Multi[[#This Row],[CentralACWater]]/tbl_Apartment_Multi[[#This Row],[Apartments]]</f>
        <v>169.87182741116752</v>
      </c>
      <c r="BX5" s="36">
        <f>tbl_Apartment_Multi[[#This Row],[CentralColdWater]]*(tbl_Apartment_Multi[[#This Row],[Apartments]]-tbl_Apartment_Multi[[#This Row],[CentralACWater]])/tbl_Apartment_Multi[[#This Row],[Apartments]]</f>
        <v>303.12817258883251</v>
      </c>
      <c r="BY5" s="36">
        <f>tbl_Apartment_Multi[[#This Row],[ColdWaterCentralDHW]]*tbl_Apartment_Multi[[#This Row],[CentralACWater]]/tbl_Apartment_Multi[[#This Row],[Apartments]]</f>
        <v>36.991116751269033</v>
      </c>
      <c r="BZ5" s="36">
        <f>tbl_Apartment_Multi[[#This Row],[ColdWaterCentralDHW]]*(tbl_Apartment_Multi[[#This Row],[Apartments]]-tbl_Apartment_Multi[[#This Row],[CentralACWater]])/tbl_Apartment_Multi[[#This Row],[Apartments]]</f>
        <v>66.008883248730967</v>
      </c>
      <c r="CA5" s="36">
        <f>tbl_Apartment_Multi[[#This Row],[ColdWaterCentralNoDHW]]*tbl_Apartment_Multi[[#This Row],[CentralACWater]]/tbl_Apartment_Multi[[#This Row],[Apartments]]</f>
        <v>76.137055837563452</v>
      </c>
      <c r="CB5" s="36">
        <f>tbl_Apartment_Multi[[#This Row],[ColdWaterCentralNoDHW]]*(tbl_Apartment_Multi[[#This Row],[Apartments]]-tbl_Apartment_Multi[[#This Row],[CentralACWater]])/tbl_Apartment_Multi[[#This Row],[Apartments]]</f>
        <v>135.86294416243655</v>
      </c>
      <c r="CC5" s="36">
        <f t="shared" si="2"/>
        <v>190</v>
      </c>
      <c r="CD5" s="36">
        <f t="shared" si="3"/>
        <v>144</v>
      </c>
      <c r="CE5" s="36">
        <f t="shared" si="4"/>
        <v>156</v>
      </c>
      <c r="CF5" s="36">
        <f t="shared" si="5"/>
        <v>110</v>
      </c>
      <c r="CG5" s="36">
        <f t="shared" si="6"/>
        <v>138</v>
      </c>
      <c r="CH5" s="36">
        <f t="shared" si="7"/>
        <v>92</v>
      </c>
      <c r="CI5" s="36">
        <f>tbl_Apartment_Multi[[#This Row],[ Number Single Water meter with central AC]]/tbl_Apartment_Multi[[Apartments]:[Apartments]]*Apartment_C_W_SWMAC</f>
        <v>40.958943157515009</v>
      </c>
      <c r="CJ5" s="36">
        <f>tbl_Apartment_Multi[[#This Row],[ Number Single Water meter no central AC]]/tbl_Apartment_Multi[[Apartments]:[Apartments]]*Apartment_C_W_SWMNoAC</f>
        <v>55.393980777654676</v>
      </c>
      <c r="CK5" s="36">
        <f>tbl_Apartment_Multi[[#This Row],[ Number Apt water meter, central AC, DHW]]/tbl_Apartment_Multi[[Apartments]:[Apartments]]*Apartment_C_W_AWMACDHW</f>
        <v>7.3231144837537672</v>
      </c>
      <c r="CL5" s="36">
        <f>tbl_Apartment_Multi[[#This Row],[ Number Apt water meter, no central AC, DHW]]/tbl_Apartment_Multi[[Apartments]:[Apartments]]*Apartment_C_W_AWMNoACDHW</f>
        <v>9.2144380169548299</v>
      </c>
      <c r="CM5" s="36">
        <f>tbl_Apartment_Multi[[#This Row],[ Number Apt water meter, central AC, no DHW]]/tbl_Apartment_Multi[[Apartments]:[Apartments]]*Apartment_C_W_AWMACNoDHW</f>
        <v>13.333646834497152</v>
      </c>
      <c r="CN5" s="36">
        <f>tbl_Apartment_Multi[[#This Row],[ Number Apt water meter, no central AC, no DHW]]/tbl_Apartment_Multi[[Apartments]:[Apartments]]*Apartment_C_W_AWMNoACNoDHW</f>
        <v>15.862171145868226</v>
      </c>
      <c r="CO5" s="44">
        <f>tbl_Apartment_Multi[[#This Row],[er]]*tbl_Apartment_Multi[[#This Row],[Apartments]]</f>
        <v>2633846.1256267559</v>
      </c>
      <c r="CP5" s="48">
        <f>(tbl_Apartment_Multi[[#This Row],[Target Energy]]-7)/(-6/159)+Apartment_BF_Rating_Correction</f>
        <v>45.055000000000007</v>
      </c>
      <c r="CQ5" s="44">
        <f>tbl_Apartment_Multi[[#This Row],[Target Max Energy BF]]/100*tbl_Apartment_Multi[[er]:[er]]</f>
        <v>1505.9382892146384</v>
      </c>
      <c r="CR5" s="44">
        <f>tbl_Apartment_Multi[[#This Row],[Target Max e]]*tbl_Apartment_Multi[[Apartments]:[Apartments]]</f>
        <v>1186679.371901135</v>
      </c>
      <c r="CS5" s="44">
        <f>tbl_Apartment_Multi[[#This Row],[Target Max CO2]]/tbl_Apartment_Multi[[EffGHG]:[EffGHG]]</f>
        <v>4746717.4876045398</v>
      </c>
      <c r="CT5" s="44">
        <f>tbl_Apartment_Multi[[#This Row],[Target Max Energy (MJ)]]/tbl_Apartment_Multi[[#This Row],[Apartments]]</f>
        <v>6023.7531568585528</v>
      </c>
      <c r="CU5" s="44">
        <f>ROUNDDOWN(tbl_Apartment_Multi[[#This Row],[Target Max Energy (MJ)]]*tbl_Apartment_Multi[[Electricity (%)]:[Electricity (%)]]/tbl_Apartment_Multi[[CFelec]:[CFelec]],0)</f>
        <v>1318532</v>
      </c>
      <c r="CV5" s="44">
        <f>ROUNDDOWN(tbl_Apartment_Multi[[#This Row],[Target Max Energy (MJ)]]*tbl_Apartment_Multi[[Gas (%)]:[Gas (%)]],0)</f>
        <v>0</v>
      </c>
      <c r="CW5" s="44">
        <f>ROUNDDOWN(tbl_Apartment_Multi[[#This Row],[Target Max Energy (MJ)]]*tbl_Apartment_Multi[[Diesel (%)]:[Diesel (%)]]/tbl_Apartment_Multi[[CFdiesel]:[CFdiesel]],0)</f>
        <v>0</v>
      </c>
      <c r="CX5" s="44">
        <f>SUM(tbl_Apartment_Multi[[#This Row],[Target Max Elec (kWh)]]*tbl_Apartment_Multi[[#This Row],[SGEe Scopes 1,2&amp;3]],
tbl_Apartment_Multi[[#This Row],[Target Max Gas (MJ)]]*tbl_Apartment_Multi[[#This Row],[SGEg Scopes 1,2&amp;3]],
tbl_Apartment_Multi[[#This Row],[Target Max Diesel (L)]]*tbl_Apartment_Multi[[#This Row],[SGEd Scopes 1,2&amp;3]])</f>
        <v>237335.75999999998</v>
      </c>
      <c r="CY5" s="44">
        <f>SUM(tbl_Apartment_Multi[[#This Row],[Target Max Elec (kWh)]]*tbl_Apartment_Multi[[#This Row],[SGEe Scopes 1&amp;2]],
tbl_Apartment_Multi[[#This Row],[Target Max Gas (MJ)]]*tbl_Apartment_Multi[[#This Row],[SGEg Scopes 1&amp;2]],
tbl_Apartment_Multi[[#This Row],[Target Max Diesel (L)]]*tbl_Apartment_Multi[[#This Row],[SGEd Scopes 1&amp;2]])</f>
        <v>210965.12</v>
      </c>
      <c r="CZ5" s="47">
        <f>tbl_Apartment_Multi[[#This Row],[wr]]*tbl_Apartment_Multi[[#This Row],[Apartments]]</f>
        <v>111964</v>
      </c>
      <c r="DA5" s="36">
        <f>(tbl_Apartment_Multi[[#This Row],[Target Water]]-7)/(-6/159)+Apartment_BF_Rating_Correction</f>
        <v>58.305000000000007</v>
      </c>
      <c r="DB5" s="47">
        <f>ROUNDDOWN(tbl_Apartment_Multi[[#This Row],[Target Max Water BF]]/100*tbl_Apartment_Multi[[wr]:[wr]]*tbl_Apartment_Multi[[Apartments]:[Apartments]],0)</f>
        <v>65280</v>
      </c>
      <c r="DC5" s="47">
        <f>tbl_Apartment_Multi[[#This Row],[Target Max Water BF]]/100*tbl_Apartment_Multi[[wr]:[wr]]</f>
        <v>82.843413959390872</v>
      </c>
      <c r="DD5" s="36">
        <f>(LEFT(tbl_Apartment_Multi[[#Headers],[6.0* Max BF]],3)-7)/(-6/159)+Apartment_BF_Rating_Correction</f>
        <v>26.504999999999999</v>
      </c>
      <c r="DE5" s="36">
        <f>(LEFT(tbl_Apartment_Multi[[#Headers],[5.5* Max BF]],3)-7)/(-6/159)+Apartment_BF_Rating_Correction</f>
        <v>39.755000000000003</v>
      </c>
      <c r="DF5" s="36">
        <f>(LEFT(tbl_Apartment_Multi[[#Headers],[5.0* Max BF]],3)-7)/(-6/159)+Apartment_BF_Rating_Correction</f>
        <v>53.005000000000003</v>
      </c>
      <c r="DG5" s="36">
        <f>(LEFT(tbl_Apartment_Multi[[#Headers],[4.5* Max BF]],3)-7)/(-6/159)+Apartment_BF_Rating_Correction</f>
        <v>66.254999999999995</v>
      </c>
      <c r="DH5" s="36">
        <f>(LEFT(tbl_Apartment_Multi[[#Headers],[4.0* Max BF]],3)-7)/(-6/159)+Apartment_BF_Rating_Correction</f>
        <v>79.504999999999995</v>
      </c>
      <c r="DI5" s="36">
        <f>(LEFT(tbl_Apartment_Multi[[#Headers],[3.5* Max BF]],3)-7)/(-6/159)+Apartment_BF_Rating_Correction</f>
        <v>92.754999999999995</v>
      </c>
      <c r="DJ5" s="36">
        <f>(LEFT(tbl_Apartment_Multi[[#Headers],[3.0* Max BF]],3)-7)/(-6/159)+Apartment_BF_Rating_Correction</f>
        <v>106.005</v>
      </c>
      <c r="DK5" s="36">
        <f>(LEFT(tbl_Apartment_Multi[[#Headers],[2.5* Max BF]],3)-7)/(-6/159)+Apartment_BF_Rating_Correction</f>
        <v>119.255</v>
      </c>
      <c r="DL5" s="36">
        <f>(LEFT(tbl_Apartment_Multi[[#Headers],[2.0* Max BF]],3)-7)/(-6/159)+Apartment_BF_Rating_Correction</f>
        <v>132.505</v>
      </c>
      <c r="DM5" s="36">
        <f>(LEFT(tbl_Apartment_Multi[[#Headers],[1.5* Max BF]],3)-7)/(-6/159)+Apartment_BF_Rating_Correction</f>
        <v>145.755</v>
      </c>
      <c r="DN5" s="36">
        <f>(LEFT(tbl_Apartment_Multi[[#Headers],[1.0* Max BF]],3)-7)/(-6/159)+Apartment_BF_Rating_Correction</f>
        <v>159.005</v>
      </c>
      <c r="DO5" s="36">
        <f>(LEFT(tbl_Apartment_Multi[[#Headers],[0.0* Max BF]],3)-7)/(-6/159)+Apartment_BF_Rating_Correction</f>
        <v>185.505</v>
      </c>
      <c r="DP5" s="36">
        <f>tbl_Apartment_Multi[[#This Row],[6.0* Max BF]]/100*tbl_Apartment_Multi[[er]:[er]]</f>
        <v>885.91486750935496</v>
      </c>
      <c r="DQ5" s="36">
        <f>tbl_Apartment_Multi[[#This Row],[5.5* Max BF]]/100*tbl_Apartment_Multi[[er]:[er]]</f>
        <v>1328.788740155986</v>
      </c>
      <c r="DR5" s="36">
        <f>tbl_Apartment_Multi[[#This Row],[5.0* Max BF]]/100*tbl_Apartment_Multi[[er]:[er]]</f>
        <v>1771.6626128026169</v>
      </c>
      <c r="DS5" s="36">
        <f>tbl_Apartment_Multi[[#This Row],[4.5* Max BF]]/100*tbl_Apartment_Multi[[er]:[er]]</f>
        <v>2214.5364854492477</v>
      </c>
      <c r="DT5" s="36">
        <f>tbl_Apartment_Multi[[#This Row],[4.0* Max BF]]/100*tbl_Apartment_Multi[[er]:[er]]</f>
        <v>2657.4103580958786</v>
      </c>
      <c r="DU5" s="36">
        <f>tbl_Apartment_Multi[[#This Row],[3.5* Max BF]]/100*tbl_Apartment_Multi[[er]:[er]]</f>
        <v>3100.2842307425094</v>
      </c>
      <c r="DV5" s="36">
        <f>tbl_Apartment_Multi[[#This Row],[3.0* Max BF]]/100*tbl_Apartment_Multi[[er]:[er]]</f>
        <v>3543.1581033891403</v>
      </c>
      <c r="DW5" s="36">
        <f>tbl_Apartment_Multi[[#This Row],[2.5* Max BF]]/100*tbl_Apartment_Multi[[er]:[er]]</f>
        <v>3986.0319760357715</v>
      </c>
      <c r="DX5" s="36">
        <f>tbl_Apartment_Multi[[#This Row],[2.0* Max BF]]/100*tbl_Apartment_Multi[[er]:[er]]</f>
        <v>4428.9058486824024</v>
      </c>
      <c r="DY5" s="36">
        <f>tbl_Apartment_Multi[[#This Row],[1.5* Max BF]]/100*tbl_Apartment_Multi[[er]:[er]]</f>
        <v>4871.7797213290332</v>
      </c>
      <c r="DZ5" s="36">
        <f>tbl_Apartment_Multi[[#This Row],[1.0* Max BF]]/100*tbl_Apartment_Multi[[er]:[er]]</f>
        <v>5314.6535939756641</v>
      </c>
      <c r="EA5" s="36">
        <f>tbl_Apartment_Multi[[#This Row],[0.0* Max BF]]/100*tbl_Apartment_Multi[[er]:[er]]</f>
        <v>6200.4013392689258</v>
      </c>
      <c r="EB5" s="44">
        <f>tbl_Apartment_Multi[[#This Row],[6.0* Max e]]*tbl_Apartment_Multi[[Apartments]:[Apartments]]</f>
        <v>698100.91559737176</v>
      </c>
      <c r="EC5" s="44">
        <f>tbl_Apartment_Multi[[#This Row],[5.5* Max e]]*tbl_Apartment_Multi[[Apartments]:[Apartments]]</f>
        <v>1047085.527242917</v>
      </c>
      <c r="ED5" s="44">
        <f>tbl_Apartment_Multi[[#This Row],[5.0* Max e]]*tbl_Apartment_Multi[[Apartments]:[Apartments]]</f>
        <v>1396070.1388884622</v>
      </c>
      <c r="EE5" s="44">
        <f>tbl_Apartment_Multi[[#This Row],[4.5* Max e]]*tbl_Apartment_Multi[[Apartments]:[Apartments]]</f>
        <v>1745054.7505340071</v>
      </c>
      <c r="EF5" s="44">
        <f>tbl_Apartment_Multi[[#This Row],[4.0* Max e]]*tbl_Apartment_Multi[[Apartments]:[Apartments]]</f>
        <v>2094039.3621795522</v>
      </c>
      <c r="EG5" s="44">
        <f>tbl_Apartment_Multi[[#This Row],[3.5* Max e]]*tbl_Apartment_Multi[[Apartments]:[Apartments]]</f>
        <v>2443023.9738250975</v>
      </c>
      <c r="EH5" s="44">
        <f>tbl_Apartment_Multi[[#This Row],[3.0* Max e]]*tbl_Apartment_Multi[[Apartments]:[Apartments]]</f>
        <v>2792008.5854706424</v>
      </c>
      <c r="EI5" s="44">
        <f>tbl_Apartment_Multi[[#This Row],[2.5* Max e]]*tbl_Apartment_Multi[[Apartments]:[Apartments]]</f>
        <v>3140993.1971161878</v>
      </c>
      <c r="EJ5" s="44">
        <f>tbl_Apartment_Multi[[#This Row],[2.0* Max e]]*tbl_Apartment_Multi[[Apartments]:[Apartments]]</f>
        <v>3489977.8087617331</v>
      </c>
      <c r="EK5" s="44">
        <f>tbl_Apartment_Multi[[#This Row],[1.5* Max e]]*tbl_Apartment_Multi[[Apartments]:[Apartments]]</f>
        <v>3838962.420407278</v>
      </c>
      <c r="EL5" s="44">
        <f>tbl_Apartment_Multi[[#This Row],[1.0* Max e]]*tbl_Apartment_Multi[[Apartments]:[Apartments]]</f>
        <v>4187947.0320528233</v>
      </c>
      <c r="EM5" s="44">
        <f>tbl_Apartment_Multi[[#This Row],[0.0* Max e]]*tbl_Apartment_Multi[[Apartments]:[Apartments]]</f>
        <v>4885916.2553439131</v>
      </c>
      <c r="EN5" s="44">
        <f>tbl_Apartment_Multi[[#This Row],[6.0* Max CO2]]/tbl_Apartment_Multi[[EffGHG]:[EffGHG]]</f>
        <v>2792403.662389487</v>
      </c>
      <c r="EO5" s="44">
        <f>tbl_Apartment_Multi[[#This Row],[5.5* Max CO2]]/tbl_Apartment_Multi[[EffGHG]:[EffGHG]]</f>
        <v>4188342.1089716679</v>
      </c>
      <c r="EP5" s="44">
        <f>tbl_Apartment_Multi[[#This Row],[5.0* Max CO2]]/tbl_Apartment_Multi[[EffGHG]:[EffGHG]]</f>
        <v>5584280.5555538489</v>
      </c>
      <c r="EQ5" s="44">
        <f>tbl_Apartment_Multi[[#This Row],[4.5* Max CO2]]/tbl_Apartment_Multi[[EffGHG]:[EffGHG]]</f>
        <v>6980219.0021360284</v>
      </c>
      <c r="ER5" s="44">
        <f>tbl_Apartment_Multi[[#This Row],[4.0* Max CO2]]/tbl_Apartment_Multi[[EffGHG]:[EffGHG]]</f>
        <v>8376157.4487182088</v>
      </c>
      <c r="ES5" s="44">
        <f>tbl_Apartment_Multi[[#This Row],[3.5* Max CO2]]/tbl_Apartment_Multi[[EffGHG]:[EffGHG]]</f>
        <v>9772095.8953003902</v>
      </c>
      <c r="ET5" s="44">
        <f>tbl_Apartment_Multi[[#This Row],[3.0* Max CO2]]/tbl_Apartment_Multi[[EffGHG]:[EffGHG]]</f>
        <v>11168034.34188257</v>
      </c>
      <c r="EU5" s="44">
        <f>tbl_Apartment_Multi[[#This Row],[2.5* Max CO2]]/tbl_Apartment_Multi[[EffGHG]:[EffGHG]]</f>
        <v>12563972.788464751</v>
      </c>
      <c r="EV5" s="44">
        <f>tbl_Apartment_Multi[[#This Row],[2.0* Max CO2]]/tbl_Apartment_Multi[[EffGHG]:[EffGHG]]</f>
        <v>13959911.235046932</v>
      </c>
      <c r="EW5" s="44">
        <f>tbl_Apartment_Multi[[#This Row],[1.5* Max CO2]]/tbl_Apartment_Multi[[EffGHG]:[EffGHG]]</f>
        <v>15355849.681629112</v>
      </c>
      <c r="EX5" s="44">
        <f>tbl_Apartment_Multi[[#This Row],[1.0* Max CO2]]/tbl_Apartment_Multi[[EffGHG]:[EffGHG]]</f>
        <v>16751788.128211293</v>
      </c>
      <c r="EY5" s="44">
        <f>tbl_Apartment_Multi[[#This Row],[0.0* Max CO2]]/tbl_Apartment_Multi[[EffGHG]:[EffGHG]]</f>
        <v>19543665.021375652</v>
      </c>
      <c r="EZ5" s="44">
        <f>ROUNDDOWN(tbl_Apartment_Multi[[#This Row],[6.0* Max Energy (MJ)]]*tbl_Apartment_Multi[[Electricity (%)]:[Electricity (%)]]/tbl_Apartment_Multi[[CFelec]:[CFelec]],0)</f>
        <v>775667</v>
      </c>
      <c r="FA5" s="44">
        <f>ROUNDDOWN(tbl_Apartment_Multi[[#This Row],[5.5* Max Energy (MJ)]]*tbl_Apartment_Multi[[Electricity (%)]:[Electricity (%)]]/tbl_Apartment_Multi[[CFelec]:[CFelec]],0)</f>
        <v>1163428</v>
      </c>
      <c r="FB5" s="44">
        <f>ROUNDDOWN(tbl_Apartment_Multi[[#This Row],[5.0* Max Energy (MJ)]]*tbl_Apartment_Multi[[Electricity (%)]:[Electricity (%)]]/tbl_Apartment_Multi[[CFelec]:[CFelec]],0)</f>
        <v>1551189</v>
      </c>
      <c r="FC5" s="44">
        <f>ROUNDDOWN(tbl_Apartment_Multi[[#This Row],[4.5* Max Energy (MJ)]]*tbl_Apartment_Multi[[Electricity (%)]:[Electricity (%)]]/tbl_Apartment_Multi[[CFelec]:[CFelec]],0)</f>
        <v>1938949</v>
      </c>
      <c r="FD5" s="44">
        <f>ROUNDDOWN(tbl_Apartment_Multi[[#This Row],[4.0* Max Energy (MJ)]]*tbl_Apartment_Multi[[Electricity (%)]:[Electricity (%)]]/tbl_Apartment_Multi[[CFelec]:[CFelec]],0)</f>
        <v>2326710</v>
      </c>
      <c r="FE5" s="44">
        <f>ROUNDDOWN(tbl_Apartment_Multi[[#This Row],[3.5* Max Energy (MJ)]]*tbl_Apartment_Multi[[Electricity (%)]:[Electricity (%)]]/tbl_Apartment_Multi[[CFelec]:[CFelec]],0)</f>
        <v>2714471</v>
      </c>
      <c r="FF5" s="44">
        <f>ROUNDDOWN(tbl_Apartment_Multi[[#This Row],[3.0* Max Energy (MJ)]]*tbl_Apartment_Multi[[Electricity (%)]:[Electricity (%)]]/tbl_Apartment_Multi[[CFelec]:[CFelec]],0)</f>
        <v>3102231</v>
      </c>
      <c r="FG5" s="44">
        <f>ROUNDDOWN(tbl_Apartment_Multi[[#This Row],[2.5* Max Energy (MJ)]]*tbl_Apartment_Multi[[Electricity (%)]:[Electricity (%)]]/tbl_Apartment_Multi[[CFelec]:[CFelec]],0)</f>
        <v>3489992</v>
      </c>
      <c r="FH5" s="44">
        <f>ROUNDDOWN(tbl_Apartment_Multi[[#This Row],[2.0* Max Energy (MJ)]]*tbl_Apartment_Multi[[Electricity (%)]:[Electricity (%)]]/tbl_Apartment_Multi[[CFelec]:[CFelec]],0)</f>
        <v>3877753</v>
      </c>
      <c r="FI5" s="44">
        <f>ROUNDDOWN(tbl_Apartment_Multi[[#This Row],[1.5* Max Energy (MJ)]]*tbl_Apartment_Multi[[Electricity (%)]:[Electricity (%)]]/tbl_Apartment_Multi[[CFelec]:[CFelec]],0)</f>
        <v>4265513</v>
      </c>
      <c r="FJ5" s="44">
        <f>ROUNDDOWN(tbl_Apartment_Multi[[#This Row],[1.0* Max Energy (MJ)]]*tbl_Apartment_Multi[[Electricity (%)]:[Electricity (%)]]/tbl_Apartment_Multi[[CFelec]:[CFelec]],0)</f>
        <v>4653274</v>
      </c>
      <c r="FK5" s="44">
        <f>ROUNDDOWN(tbl_Apartment_Multi[[#This Row],[0.0* Max Energy (MJ)]]*tbl_Apartment_Multi[[Electricity (%)]:[Electricity (%)]]/tbl_Apartment_Multi[[CFelec]:[CFelec]],0)</f>
        <v>5428795</v>
      </c>
      <c r="FL5" s="44">
        <f>ROUNDDOWN(tbl_Apartment_Multi[[#This Row],[6.0* Max Energy (MJ)]]*tbl_Apartment_Multi[[Gas (%)]:[Gas (%)]],0)</f>
        <v>0</v>
      </c>
      <c r="FM5" s="44">
        <f>ROUNDDOWN(tbl_Apartment_Multi[[#This Row],[5.5* Max Energy (MJ)]]*tbl_Apartment_Multi[[Gas (%)]:[Gas (%)]],0)</f>
        <v>0</v>
      </c>
      <c r="FN5" s="44">
        <f>ROUNDDOWN(tbl_Apartment_Multi[[#This Row],[5.0* Max Energy (MJ)]]*tbl_Apartment_Multi[[Gas (%)]:[Gas (%)]],0)</f>
        <v>0</v>
      </c>
      <c r="FO5" s="44">
        <f>ROUNDDOWN(tbl_Apartment_Multi[[#This Row],[4.5* Max Energy (MJ)]]*tbl_Apartment_Multi[[Gas (%)]:[Gas (%)]],0)</f>
        <v>0</v>
      </c>
      <c r="FP5" s="44">
        <f>ROUNDDOWN(tbl_Apartment_Multi[[#This Row],[4.0* Max Energy (MJ)]]*tbl_Apartment_Multi[[Gas (%)]:[Gas (%)]],0)</f>
        <v>0</v>
      </c>
      <c r="FQ5" s="44">
        <f>ROUNDDOWN(tbl_Apartment_Multi[[#This Row],[3.5* Max Energy (MJ)]]*tbl_Apartment_Multi[[Gas (%)]:[Gas (%)]],0)</f>
        <v>0</v>
      </c>
      <c r="FR5" s="44">
        <f>ROUNDDOWN(tbl_Apartment_Multi[[#This Row],[3.0* Max Energy (MJ)]]*tbl_Apartment_Multi[[Gas (%)]:[Gas (%)]],0)</f>
        <v>0</v>
      </c>
      <c r="FS5" s="44">
        <f>ROUNDDOWN(tbl_Apartment_Multi[[#This Row],[2.5* Max Energy (MJ)]]*tbl_Apartment_Multi[[Gas (%)]:[Gas (%)]],0)</f>
        <v>0</v>
      </c>
      <c r="FT5" s="44">
        <f>ROUNDDOWN(tbl_Apartment_Multi[[#This Row],[2.0* Max Energy (MJ)]]*tbl_Apartment_Multi[[Gas (%)]:[Gas (%)]],0)</f>
        <v>0</v>
      </c>
      <c r="FU5" s="44">
        <f>ROUNDDOWN(tbl_Apartment_Multi[[#This Row],[1.5* Max Energy (MJ)]]*tbl_Apartment_Multi[[Gas (%)]:[Gas (%)]],0)</f>
        <v>0</v>
      </c>
      <c r="FV5" s="44">
        <f>ROUNDDOWN(tbl_Apartment_Multi[[#This Row],[1.0* Max Energy (MJ)]]*tbl_Apartment_Multi[[Gas (%)]:[Gas (%)]],0)</f>
        <v>0</v>
      </c>
      <c r="FW5" s="44">
        <f>ROUNDDOWN(tbl_Apartment_Multi[[#This Row],[0.0* Max Energy (MJ)]]*tbl_Apartment_Multi[[Gas (%)]:[Gas (%)]],0)</f>
        <v>0</v>
      </c>
      <c r="FX5" s="44">
        <f>ROUNDDOWN(tbl_Apartment_Multi[[#This Row],[6.0* Max Energy (MJ)]]*tbl_Apartment_Multi[[Diesel (%)]:[Diesel (%)]]/tbl_Apartment_Multi[[CFdiesel]:[CFdiesel]],0)</f>
        <v>0</v>
      </c>
      <c r="FY5" s="44">
        <f>ROUNDDOWN(tbl_Apartment_Multi[[#This Row],[5.5* Max Energy (MJ)]]*tbl_Apartment_Multi[[Diesel (%)]:[Diesel (%)]]/tbl_Apartment_Multi[[CFdiesel]:[CFdiesel]],0)</f>
        <v>0</v>
      </c>
      <c r="FZ5" s="44">
        <f>ROUNDDOWN(tbl_Apartment_Multi[[#This Row],[5.0* Max Energy (MJ)]]*tbl_Apartment_Multi[[Diesel (%)]:[Diesel (%)]]/tbl_Apartment_Multi[[CFdiesel]:[CFdiesel]],0)</f>
        <v>0</v>
      </c>
      <c r="GA5" s="44">
        <f>ROUNDDOWN(tbl_Apartment_Multi[[#This Row],[4.5* Max Energy (MJ)]]*tbl_Apartment_Multi[[Diesel (%)]:[Diesel (%)]]/tbl_Apartment_Multi[[CFdiesel]:[CFdiesel]],0)</f>
        <v>0</v>
      </c>
      <c r="GB5" s="44">
        <f>ROUNDDOWN(tbl_Apartment_Multi[[#This Row],[4.0* Max Energy (MJ)]]*tbl_Apartment_Multi[[Diesel (%)]:[Diesel (%)]]/tbl_Apartment_Multi[[CFdiesel]:[CFdiesel]],0)</f>
        <v>0</v>
      </c>
      <c r="GC5" s="44">
        <f>ROUNDDOWN(tbl_Apartment_Multi[[#This Row],[3.5* Max Energy (MJ)]]*tbl_Apartment_Multi[[Diesel (%)]:[Diesel (%)]]/tbl_Apartment_Multi[[CFdiesel]:[CFdiesel]],0)</f>
        <v>0</v>
      </c>
      <c r="GD5" s="44">
        <f>ROUNDDOWN(tbl_Apartment_Multi[[#This Row],[3.0* Max Energy (MJ)]]*tbl_Apartment_Multi[[Diesel (%)]:[Diesel (%)]]/tbl_Apartment_Multi[[CFdiesel]:[CFdiesel]],0)</f>
        <v>0</v>
      </c>
      <c r="GE5" s="44">
        <f>ROUNDDOWN(tbl_Apartment_Multi[[#This Row],[2.5* Max Energy (MJ)]]*tbl_Apartment_Multi[[Diesel (%)]:[Diesel (%)]]/tbl_Apartment_Multi[[CFdiesel]:[CFdiesel]],0)</f>
        <v>0</v>
      </c>
      <c r="GF5" s="44">
        <f>ROUNDDOWN(tbl_Apartment_Multi[[#This Row],[2.0* Max Energy (MJ)]]*tbl_Apartment_Multi[[Diesel (%)]:[Diesel (%)]]/tbl_Apartment_Multi[[CFdiesel]:[CFdiesel]],0)</f>
        <v>0</v>
      </c>
      <c r="GG5" s="44">
        <f>ROUNDDOWN(tbl_Apartment_Multi[[#This Row],[1.5* Max Energy (MJ)]]*tbl_Apartment_Multi[[Diesel (%)]:[Diesel (%)]]/tbl_Apartment_Multi[[CFdiesel]:[CFdiesel]],0)</f>
        <v>0</v>
      </c>
      <c r="GH5" s="44">
        <f>ROUNDDOWN(tbl_Apartment_Multi[[#This Row],[1.0* Max Energy (MJ)]]*tbl_Apartment_Multi[[Diesel (%)]:[Diesel (%)]]/tbl_Apartment_Multi[[CFdiesel]:[CFdiesel]],0)</f>
        <v>0</v>
      </c>
      <c r="GI5" s="44">
        <f>ROUNDDOWN(tbl_Apartment_Multi[[#This Row],[0.0* Max Energy (MJ)]]*tbl_Apartment_Multi[[Diesel (%)]:[Diesel (%)]]/tbl_Apartment_Multi[[CFdiesel]:[CFdiesel]],0)</f>
        <v>0</v>
      </c>
      <c r="GJ5" s="44">
        <f>ROUNDDOWN(tbl_Apartment_Multi[[#This Row],[6.0* Max BF]]/100*tbl_Apartment_Multi[[wr]:[wr]]*tbl_Apartment_Multi[[Apartments]:[Apartments]],0)</f>
        <v>29676</v>
      </c>
      <c r="GK5" s="44">
        <f>ROUNDDOWN(tbl_Apartment_Multi[[#This Row],[5.5* Max BF]]/100*tbl_Apartment_Multi[[wr]:[wr]]*tbl_Apartment_Multi[[Apartments]:[Apartments]],0)</f>
        <v>44511</v>
      </c>
      <c r="GL5" s="44">
        <f>ROUNDDOWN(tbl_Apartment_Multi[[#This Row],[5.0* Max BF]]/100*tbl_Apartment_Multi[[wr]:[wr]]*tbl_Apartment_Multi[[Apartments]:[Apartments]],0)</f>
        <v>59346</v>
      </c>
      <c r="GM5" s="44">
        <f>ROUNDDOWN(tbl_Apartment_Multi[[#This Row],[4.5* Max BF]]/100*tbl_Apartment_Multi[[wr]:[wr]]*tbl_Apartment_Multi[[Apartments]:[Apartments]],0)</f>
        <v>74181</v>
      </c>
      <c r="GN5" s="44">
        <f>ROUNDDOWN(tbl_Apartment_Multi[[#This Row],[4.0* Max BF]]/100*tbl_Apartment_Multi[[wr]:[wr]]*tbl_Apartment_Multi[[Apartments]:[Apartments]],0)</f>
        <v>89016</v>
      </c>
      <c r="GO5" s="44">
        <f>ROUNDDOWN(tbl_Apartment_Multi[[#This Row],[3.5* Max BF]]/100*tbl_Apartment_Multi[[wr]:[wr]]*tbl_Apartment_Multi[[Apartments]:[Apartments]],0)</f>
        <v>103852</v>
      </c>
      <c r="GP5" s="44">
        <f>ROUNDDOWN(tbl_Apartment_Multi[[#This Row],[3.0* Max BF]]/100*tbl_Apartment_Multi[[wr]:[wr]]*tbl_Apartment_Multi[[Apartments]:[Apartments]],0)</f>
        <v>118687</v>
      </c>
      <c r="GQ5" s="44">
        <f>ROUNDDOWN(tbl_Apartment_Multi[[#This Row],[2.5* Max BF]]/100*tbl_Apartment_Multi[[wr]:[wr]]*tbl_Apartment_Multi[[Apartments]:[Apartments]],0)</f>
        <v>133522</v>
      </c>
      <c r="GR5" s="44">
        <f>ROUNDDOWN(tbl_Apartment_Multi[[#This Row],[2.0* Max BF]]/100*tbl_Apartment_Multi[[wr]:[wr]]*tbl_Apartment_Multi[[Apartments]:[Apartments]],0)</f>
        <v>148357</v>
      </c>
      <c r="GS5" s="44">
        <f>ROUNDDOWN(tbl_Apartment_Multi[[#This Row],[1.5* Max BF]]/100*tbl_Apartment_Multi[[wr]:[wr]]*tbl_Apartment_Multi[[Apartments]:[Apartments]],0)</f>
        <v>163193</v>
      </c>
      <c r="GT5" s="44">
        <f>ROUNDDOWN(tbl_Apartment_Multi[[#This Row],[1.0* Max BF]]/100*tbl_Apartment_Multi[[wr]:[wr]]*tbl_Apartment_Multi[[Apartments]:[Apartments]],0)</f>
        <v>178028</v>
      </c>
      <c r="GU5" s="44">
        <f>ROUNDDOWN(tbl_Apartment_Multi[[#This Row],[0.0* Max BF]]/100*tbl_Apartment_Multi[[wr]:[wr]]*tbl_Apartment_Multi[[Apartments]:[Apartments]],0)</f>
        <v>207698</v>
      </c>
      <c r="GV5" s="44">
        <f>SUM(tbl_Apartment_Multi[[#This Row],[Electricity]]*(1-tbl_Apartment_Multi[[#This Row],[GP]])*tbl_Apartment_Multi[[#This Row],[SGEe Scopes 1,2&amp;3]],
tbl_Apartment_Multi[[#This Row],[Gas]]*tbl_Apartment_Multi[[#This Row],[SGEg Scopes 1,2&amp;3]],
tbl_Apartment_Multi[[#This Row],[Diesel]]*tbl_Apartment_Multi[[#This Row],[SGEd Scopes 1,2&amp;3]])</f>
        <v>320145.22852999996</v>
      </c>
      <c r="GW5" s="44">
        <f>SUM(tbl_Apartment_Multi[[#This Row],[Electricity]]*(1-tbl_Apartment_Multi[[#This Row],[GP]])*tbl_Apartment_Multi[[#This Row],[SGEe Scopes 1&amp;2]],
tbl_Apartment_Multi[[#This Row],[Gas]]*tbl_Apartment_Multi[[#This Row],[SGEg Scopes 1&amp;2]],
tbl_Apartment_Multi[[#This Row],[Diesel]]*tbl_Apartment_Multi[[#This Row],[SGEd Scopes 1&amp;2]])</f>
        <v>301892.60125000001</v>
      </c>
      <c r="GX5" s="45">
        <f>IF(tbl_Apartment_Multi[[#This Row],[Energy Star Decimal (with GP)]]&lt;1,0,MIN(ROUNDDOWN(tbl_Apartment_Multi[[#This Row],[Energy Star Decimal (with GP)]]*2,0)/2,6))</f>
        <v>5.5</v>
      </c>
      <c r="GY5" s="45">
        <f>((tbl_Apartment_Multi[[#This Row],[e-BF (with GP)]]*(-6/159)+7)*2)/2</f>
        <v>5.6050486408281888</v>
      </c>
      <c r="GZ5" s="45">
        <f>IF(tbl_Apartment_Multi[[#This Row],[Energy Star Decimal (no GP)]]&lt;1,0,MIN(ROUNDDOWN(tbl_Apartment_Multi[[#This Row],[Energy Star Decimal (no GP)]]*2,0)/2,6))</f>
        <v>5.5</v>
      </c>
      <c r="HA5" s="45">
        <f>((tbl_Apartment_Multi[[#This Row],[e-BF (no GP)]]*(-6/159)+7)*2)/2</f>
        <v>5.6050486408281888</v>
      </c>
      <c r="HB5" s="45">
        <f>SUM(tbl_Apartment_Multi[[#This Row],[Electricity]]*(1-tbl_Apartment_Multi[[#This Row],[GP]])*tbl_Apartment_Multi[[#This Row],[SGEe]],
tbl_Apartment_Multi[[#This Row],[Gas]]*tbl_Apartment_Multi[[#This Row],[SGEg]],
tbl_Apartment_Multi[[#This Row],[Diesel]]*tbl_Apartment_Multi[[#This Row],[SGEd]])
/tbl_Apartment_Multi[[#This Row],[Apartments]]</f>
        <v>1235.5750211802031</v>
      </c>
      <c r="HC5" s="45">
        <f>SUM(tbl_Apartment_Multi[[#This Row],[Electricity]]*tbl_Apartment_Multi[[#This Row],[SGEe]],
tbl_Apartment_Multi[[#This Row],[Gas]]*tbl_Apartment_Multi[[#This Row],[SGEg]],
tbl_Apartment_Multi[[#This Row],[Diesel]]*tbl_Apartment_Multi[[#This Row],[SGEd]])
/tbl_Apartment_Multi[[#This Row],[Apartments]]</f>
        <v>1235.5750211802031</v>
      </c>
      <c r="HD5" s="45">
        <f>tbl_Apartment_Multi[[#This Row],[e (with GP)]]/tbl_Apartment_Multi[[#This Row],[er]]*100</f>
        <v>36.966211018053002</v>
      </c>
      <c r="HE5" s="45">
        <f>tbl_Apartment_Multi[[#This Row],[e (no GP)]]/tbl_Apartment_Multi[[#This Row],[er]]*100</f>
        <v>36.966211018053002</v>
      </c>
      <c r="HF5" s="45" t="e">
        <f>IF(tbl_Apartment_Multi[[#This Row],[Water Star Decimal (with recyc)]]&lt;1,0,MIN(ROUNDDOWN(tbl_Apartment_Multi[[#This Row],[Water Star Decimal (with recyc)]]*2,0)/2,6))</f>
        <v>#DIV/0!</v>
      </c>
      <c r="HG5" s="46" t="e">
        <f>((tbl_Apartment_Multi[[#This Row],[w-BF (with recyc)]]*(-6/159)+7)*2)/2</f>
        <v>#DIV/0!</v>
      </c>
      <c r="HH5" s="45" t="e">
        <f>IF(tbl_Apartment_Multi[[#This Row],[Water Star Decimal (no recyc)]]&lt;1,0,MIN(ROUNDDOWN(tbl_Apartment_Multi[[#This Row],[Water Star Decimal (no recyc)]]*2,0)/2,6))</f>
        <v>#DIV/0!</v>
      </c>
      <c r="HI5" s="262" t="e">
        <f>((tbl_Apartment_Multi[[#This Row],[w-BF (no recyc)]]*(-6/159)+7)*2)/2</f>
        <v>#DIV/0!</v>
      </c>
      <c r="HJ5" s="36" t="e">
        <f>tbl_Apartment_Multi[[#This Row],[Water]]*(1-tbl_Apartment_Multi[[#This Row],[RW]])/tbl_Apartment_Multi[[#This Row],[NCAC]]</f>
        <v>#DIV/0!</v>
      </c>
      <c r="HK5" s="36" t="e">
        <f>tbl_Apartment_Multi[[#This Row],[Water]]/tbl_Apartment_Multi[[#This Row],[NCAC]]</f>
        <v>#DIV/0!</v>
      </c>
      <c r="HL5" s="36" t="e">
        <f>tbl_Apartment_Multi[[#This Row],[w (with recyc)]]/tbl_Apartment_Multi[[#This Row],[wr]]*100</f>
        <v>#DIV/0!</v>
      </c>
      <c r="HM5" s="36" t="e">
        <f>tbl_Apartment_Multi[[#This Row],[w (no recyc)]]/tbl_Apartment_Multi[[#This Row],[wr]]*100</f>
        <v>#DIV/0!</v>
      </c>
    </row>
    <row r="6" spans="1:221" ht="16.5" customHeight="1">
      <c r="A6" s="484">
        <v>4.3</v>
      </c>
      <c r="B6" s="484">
        <v>3.9</v>
      </c>
      <c r="C6" s="485">
        <v>3000</v>
      </c>
      <c r="D6" s="485">
        <v>133</v>
      </c>
      <c r="E6" s="485">
        <v>133</v>
      </c>
      <c r="F6" s="485">
        <v>0</v>
      </c>
      <c r="G6" s="485">
        <v>0</v>
      </c>
      <c r="H6" s="485">
        <v>133</v>
      </c>
      <c r="I6" s="485" t="s">
        <v>652</v>
      </c>
      <c r="J6" s="485">
        <v>12</v>
      </c>
      <c r="K6" s="485" t="s">
        <v>654</v>
      </c>
      <c r="L6" s="485">
        <v>0</v>
      </c>
      <c r="M6" s="485">
        <v>0</v>
      </c>
      <c r="N6" s="485">
        <v>128</v>
      </c>
      <c r="O6" s="485">
        <v>36</v>
      </c>
      <c r="P6" s="485">
        <v>4</v>
      </c>
      <c r="Q6" s="485">
        <v>93</v>
      </c>
      <c r="R6" s="485">
        <v>133</v>
      </c>
      <c r="S6" s="487">
        <v>0.75</v>
      </c>
      <c r="T6" s="487">
        <v>0.25</v>
      </c>
      <c r="U6" s="487">
        <v>0</v>
      </c>
      <c r="V6" s="126">
        <f>tbl_Apartment_Multi[[#This Row],[Target Max Energy BF]]</f>
        <v>71.555000000000007</v>
      </c>
      <c r="W6" s="42">
        <f>tbl_Apartment_Multi[[#This Row],[Predicted Emissions]]</f>
        <v>690295.02628193435</v>
      </c>
      <c r="X6" s="42">
        <f>tbl_Apartment_Multi[[#This Row],[Target Max CO2]]</f>
        <v>493940.60605603812</v>
      </c>
      <c r="Y6" s="42">
        <f>tbl_Apartment_Multi[[#This Row],[Target Max e]]</f>
        <v>3713.839143278482</v>
      </c>
      <c r="Z6" s="42">
        <f>tbl_Apartment_Multi[[#This Row],[Target Max Energy Intensity]]</f>
        <v>18235.710166718545</v>
      </c>
      <c r="AA6" s="42">
        <f>tbl_Apartment_Multi[[#This Row],[Target Scopes 1,2&amp;3]]</f>
        <v>569267.75361000001</v>
      </c>
      <c r="AB6" s="42">
        <f>tbl_Apartment_Multi[[#This Row],[Target Scopes 1&amp;2]]</f>
        <v>516314.30561000004</v>
      </c>
      <c r="AC6" s="42">
        <f>tbl_Apartment_Multi[[#This Row],[Target Max Elec (kWh)]]</f>
        <v>505281</v>
      </c>
      <c r="AD6" s="42">
        <f>tbl_Apartment_Multi[[#This Row],[Target Max Gas (MJ)]]</f>
        <v>606337</v>
      </c>
      <c r="AE6" s="42">
        <f>tbl_Apartment_Multi[[#This Row],[Target Max Diesel (L)]]</f>
        <v>0</v>
      </c>
      <c r="AF6" s="126">
        <f>tbl_Apartment_Multi[[#This Row],[Target Max Water BF]]</f>
        <v>82.155000000000001</v>
      </c>
      <c r="AG6" s="42">
        <f>tbl_Apartment_Multi[[#This Row],[Predicted Water]]</f>
        <v>20298</v>
      </c>
      <c r="AH6" s="42">
        <f>tbl_Apartment_Multi[[#This Row],[Target Max Water (kL)]]</f>
        <v>16675</v>
      </c>
      <c r="AI6" s="378">
        <f>tbl_Apartment_Multi[[#This Row],[Target Max Water Intensity]]</f>
        <v>125.38211954887218</v>
      </c>
      <c r="AJ6" s="285">
        <v>416979</v>
      </c>
      <c r="AK6" s="285">
        <v>1351012</v>
      </c>
      <c r="AL6" s="285">
        <v>3888</v>
      </c>
      <c r="AM6" s="43">
        <v>0</v>
      </c>
      <c r="AN6" s="285">
        <v>23761</v>
      </c>
      <c r="AO6" s="43">
        <v>0</v>
      </c>
      <c r="AP6" s="45" t="str">
        <f>INDEX(tbl_Climate_Lookup[],MATCH(tbl_Apartment_Multi[[Postcode]:[Postcode]],tbl_Climate_Lookup[[Postcode]:[Postcode]],0),MATCH(tbl_Apartment_Multi[[#Headers],[State]],tbl_Climate_Lookup[#Headers],0))</f>
        <v>VIC</v>
      </c>
      <c r="AQ6" s="45">
        <f>INDEX(tbl_Climate_Lookup[],MATCH(tbl_Apartment_Multi[[Postcode]:[Postcode]],tbl_Climate_Lookup[[Postcode]:[Postcode]],0),MATCH(tbl_Apartment_Multi[[#Headers],[Climate zone]],tbl_Climate_Lookup[#Headers],0))</f>
        <v>18</v>
      </c>
      <c r="AR6" s="169">
        <f>INDEX(tbl_Climate_Lookup[],MATCH(tbl_Apartment_Multi[[Postcode]:[Postcode]],tbl_Climate_Lookup[[Postcode]:[Postcode]],0),MATCH(tbl_Apartment_Multi[[#Headers],[HDD]],tbl_Climate_Lookup[#Headers],0))</f>
        <v>1590</v>
      </c>
      <c r="AS6" s="169">
        <f>INDEX(tbl_Climate_Lookup[],MATCH(tbl_Apartment_Multi[[Postcode]:[Postcode]],tbl_Climate_Lookup[[Postcode]:[Postcode]],0),MATCH(tbl_Apartment_Multi[[#Headers],[CDD]],tbl_Climate_Lookup[#Headers],0))</f>
        <v>100</v>
      </c>
      <c r="AT6" s="45">
        <f>INDEX(tbl_SGE_AB_2020[],MATCH(tbl_Apartment_Multi[[State]:[State]],tbl_SGE_AB_2020[[State]:[State]],0),MATCH(tbl_Apartment_Multi[[#Headers],[SGEe]],tbl_SGE_AB_2020[#Headers],0))</f>
        <v>0.9</v>
      </c>
      <c r="AU6" s="45">
        <f>INDEX(tbl_SGE_AB_2020[],MATCH(tbl_Apartment_Multi[[State]:[State]],tbl_SGE_AB_2020[[State]:[State]],0),MATCH(tbl_Apartment_Multi[[#Headers],[SGEg]],tbl_SGE_AB_2020[#Headers],0))</f>
        <v>6.4630000000000007E-2</v>
      </c>
      <c r="AV6" s="533">
        <f>INDEX(tbl_SGE_AB_2020[],MATCH(tbl_Apartment_Multi[[State]:[State]],tbl_SGE_AB_2020[[State]:[State]],0),MATCH(tbl_Apartment_Multi[[#Headers],[SGEd]],tbl_SGE_AB_2020[#Headers],0))</f>
        <v>2.8487</v>
      </c>
      <c r="AW6" s="50">
        <f>INDEX(tbl_Conversion_Factors[[Conversion Factors]:[Conversion Factors]],MATCH(tbl_Apartment_Multi[[#Headers],[CFelec]],tbl_Conversion_Factors[[Reference]:[Reference]],0))</f>
        <v>3.6</v>
      </c>
      <c r="AX6" s="50">
        <f>INDEX(tbl_Conversion_Factors[[Conversion Factors]:[Conversion Factors]],MATCH(tbl_Apartment_Multi[[#Headers],[CFdiesel]],tbl_Conversion_Factors[[Reference]:[Reference]],0))</f>
        <v>38.6</v>
      </c>
      <c r="AY6" s="45">
        <f>tbl_Apartment_Multi[[#This Row],[SGEe]]/tbl_Apartment_Multi[[#This Row],[CFelec]]</f>
        <v>0.25</v>
      </c>
      <c r="AZ6" s="45">
        <f>tbl_Apartment_Multi[[#This Row],[SGEd]]/tbl_Apartment_Multi[[#This Row],[CFdiesel]]</f>
        <v>7.3800518134715026E-2</v>
      </c>
      <c r="BA6" s="46">
        <f>IF(SUM(tbl_Apartment_Multi[[#This Row],[Electricity (%)]:[Diesel (%)]])=1,
SUM(tbl_Apartment_Multi[[#This Row],[Electricity (%)]]*tbl_Apartment_Multi[[#This Row],[SGEeMJ]],
tbl_Apartment_Multi[[#This Row],[Gas (%)]]*tbl_Apartment_Multi[[#This Row],[SGEg]],
tbl_Apartment_Multi[[#This Row],[Diesel (%)]]*tbl_Apartment_Multi[[#This Row],[SGEdMJ]]),0)</f>
        <v>0.20365749999999999</v>
      </c>
      <c r="BB6" s="46">
        <f>INDEX(tbl_NGA_Factors_2021[],MATCH(tbl_Apartment_Multi[[State]:[State]],tbl_NGA_Factors_2021[[State]:[State]],0),MATCH(tbl_Apartment_Multi[[#Headers],[SGEe Scopes 1,2&amp;3]],tbl_NGA_Factors_2021[#Headers],0))</f>
        <v>1.06</v>
      </c>
      <c r="BC6" s="46">
        <f>INDEX(tbl_NGA_Factors_2021[],MATCH(tbl_Apartment_Multi[[State]:[State]],tbl_NGA_Factors_2021[[State]:[State]],0),MATCH(tbl_Apartment_Multi[[#Headers],[SGEg Scopes 1,2&amp;3]],tbl_NGA_Factors_2021[#Headers],0))</f>
        <v>5.5530000000000003E-2</v>
      </c>
      <c r="BD6" s="46">
        <f>INDEX(tbl_NGA_Factors_2021[],MATCH(tbl_Apartment_Multi[[State]:[State]],tbl_NGA_Factors_2021[[State]:[State]],0),MATCH(tbl_Apartment_Multi[[#Headers],[SGEd Scopes 1,2&amp;3]],tbl_NGA_Factors_2021[#Headers],0))</f>
        <v>2.8486799999999999</v>
      </c>
      <c r="BE6" s="46">
        <f>INDEX(tbl_NGA_Factors_2021[],MATCH(tbl_Apartment_Multi[[State]:[State]],tbl_NGA_Factors_2021[[State]:[State]],0),MATCH(tbl_Apartment_Multi[[#Headers],[SGEe Scopes 1&amp;2]],tbl_NGA_Factors_2021[#Headers],0))</f>
        <v>0.96</v>
      </c>
      <c r="BF6" s="46">
        <f>INDEX(tbl_NGA_Factors_2021[],MATCH(tbl_Apartment_Multi[[State]:[State]],tbl_NGA_Factors_2021[[State]:[State]],0),MATCH(tbl_Apartment_Multi[[#Headers],[SGEg Scopes 1&amp;2]],tbl_NGA_Factors_2021[#Headers],0))</f>
        <v>5.1529999999999999E-2</v>
      </c>
      <c r="BG6" s="46">
        <f>INDEX(tbl_NGA_Factors_2021[],MATCH(tbl_Apartment_Multi[[State]:[State]],tbl_NGA_Factors_2021[[State]:[State]],0),MATCH(tbl_Apartment_Multi[[#Headers],[SGEd Scopes 1&amp;2]],tbl_NGA_Factors_2021[#Headers],0))</f>
        <v>2.7097199999999999</v>
      </c>
      <c r="BH6" s="45">
        <f>SUM(tbl_Apartment_Multi[[#This Row],[Energy Intercept]],tbl_Apartment_Multi[[#This Row],[GCAC]],tbl_Apartment_Multi[[#This Row],[GCW]],tbl_Apartment_Multi[[#This Row],[GNCS]],tbl_Apartment_Multi[[#This Row],[Glift]],tbl_Apartment_Multi[[#This Row],[Gpool]],tbl_Apartment_Multi[[#This Row],[Ggym]],tbl_Apartment_Multi[[#This Row],[GCP]])*tbl_Apartment_Multi[[#This Row],[A]]</f>
        <v>5190.1881675333407</v>
      </c>
      <c r="BI6" s="45">
        <f>SUM(Apartment_C_E_Intercept,tbl_Apartment_Multi[[#This Row],[GCAC]],tbl_Apartment_Multi[[#This Row],[GCW]],tbl_Apartment_Multi[[#This Row],[GNCS]],tbl_Apartment_Multi[[#This Row],[Glift]],tbl_Apartment_Multi[[#This Row],[Gpool]],tbl_Apartment_Multi[[#This Row],[Ggym]],tbl_Apartment_Multi[[#This Row],[GCP Separate Cap]])*tbl_Apartment_Multi[[#This Row],[A]]</f>
        <v>5190.1881675333407</v>
      </c>
      <c r="BJ6" s="45">
        <f t="shared" si="0"/>
        <v>0.95</v>
      </c>
      <c r="BK6" s="45">
        <f t="shared" si="1"/>
        <v>39.326700334909603</v>
      </c>
      <c r="BL6" s="45">
        <f>tbl_Apartment_Multi[[#This Row],[NCAC]]/tbl_Apartment_Multi[[#This Row],[Apartments]]*Apartment_C_E_CAC</f>
        <v>3040.4937715290598</v>
      </c>
      <c r="BM6" s="45">
        <f>tbl_Apartment_Multi[[#This Row],[NCW]]/tbl_Apartment_Multi[[#This Row],[Apartments]]*Apartment_C_E_CW</f>
        <v>0</v>
      </c>
      <c r="BN6" s="45">
        <f>tbl_Apartment_Multi[[#This Row],[NNCS]]/tbl_Apartment_Multi[[#This Row],[Apartments]]*Apartment_C_E_NCS</f>
        <v>0</v>
      </c>
      <c r="BO6" s="45">
        <f>tbl_Apartment_Multi[[#This Row],[Nlift]]/tbl_Apartment_Multi[[#This Row],[Apartments]]*Apartment_C_E_lift</f>
        <v>714.83459060033601</v>
      </c>
      <c r="BP6" s="45">
        <f>IF(tbl_Apartment_Multi[[#This Row],[Pool]]="Temperature controlled pool",IF(tbl_Apartment_Multi[[#This Row],[TMPA]]=0,12,tbl_Apartment_Multi[[#This Row],[TMPA]])/12*Apartment_C_E_pool,IF(tbl_Apartment_Multi[[#This Row],[Pool]]="Unheated pool",IF(tbl_Apartment_Multi[[#This Row],[TMPA]]=0,12,tbl_Apartment_Multi[[#This Row],[TMPA]])/12*Apartment_C_E_pool_noheat,0))</f>
        <v>1040.58055956421</v>
      </c>
      <c r="BQ6" s="45">
        <f>IF(tbl_Apartment_Multi[[#This Row],[Gym]]="Yes",IF(tbl_Apartment_Multi[[#This Row],[TMGA]]=0,12,tbl_Apartment_Multi[[#This Row],[TMGA]])/12*Apartment_C_E_gym,0)</f>
        <v>0</v>
      </c>
      <c r="BR6" s="45">
        <f>SUM(tbl_Apartment_Multi[[#This Row],[GCPMV]],tbl_Apartment_Multi[[#This Row],[GCPNV]])</f>
        <v>628.1203437960537</v>
      </c>
      <c r="BS6" s="45">
        <f>MIN(tbl_Apartment_Multi[[#This Row],[Apartments]]*2,tbl_Apartment_Multi[[#This Row],[CPMV]])*Apartment_C_E_MVCP/tbl_Apartment_Multi[[#This Row],[Apartments]]</f>
        <v>628.1203437960537</v>
      </c>
      <c r="BT6" s="45">
        <f>MIN(tbl_Apartment_Multi[[#This Row],[Apartments]]*2-tbl_Apartment_Multi[[#This Row],[CPMV]],tbl_Apartment_Multi[[#This Row],[CPNV]])*Apartment_C_E_MVCP*Apartment_C_E_NVCPAdjusted/tbl_Apartment_Multi[[#This Row],[Apartments]]</f>
        <v>0</v>
      </c>
      <c r="BU6" s="45">
        <f>SUM(MIN(tbl_Apartment_Multi[[#This Row],[Apartments]]*2,tbl_Apartment_Multi[[#This Row],[CPMV]])*Apartment_C_E_MVCP,tbl_Apartment_Multi[[#This Row],[CPNV]]*Apartment_C_E_NVCP)/tbl_Apartment_Multi[[#This Row],[Apartments]]</f>
        <v>628.1203437960537</v>
      </c>
      <c r="BV6" s="36">
        <f>SUM(tbl_Apartment_Multi[[#This Row],[Orig correction Single Water meter with central AC]],tbl_Apartment_Multi[[#This Row],[Orig correction Single Water meter no central AC]],tbl_Apartment_Multi[[#This Row],[Orig correction Apt water meter, central AC, DHW]],tbl_Apartment_Multi[[#This Row],[Orig correction Apt water meter, no central AC, DHW]],tbl_Apartment_Multi[[#This Row],[Orig correction Apt water meter, central AC, no DHW]],tbl_Apartment_Multi[[#This Row],[Orig correction Apt water meter, no central AC, no DHW]])</f>
        <v>152.61654135338347</v>
      </c>
      <c r="BW6" s="36">
        <f>tbl_Apartment_Multi[[#This Row],[CentralColdWater]]*tbl_Apartment_Multi[[#This Row],[CentralACWater]]/tbl_Apartment_Multi[[#This Row],[Apartments]]</f>
        <v>36</v>
      </c>
      <c r="BX6" s="36">
        <f>tbl_Apartment_Multi[[#This Row],[CentralColdWater]]*(tbl_Apartment_Multi[[#This Row],[Apartments]]-tbl_Apartment_Multi[[#This Row],[CentralACWater]])/tbl_Apartment_Multi[[#This Row],[Apartments]]</f>
        <v>0</v>
      </c>
      <c r="BY6" s="36">
        <f>tbl_Apartment_Multi[[#This Row],[ColdWaterCentralDHW]]*tbl_Apartment_Multi[[#This Row],[CentralACWater]]/tbl_Apartment_Multi[[#This Row],[Apartments]]</f>
        <v>4</v>
      </c>
      <c r="BZ6" s="36">
        <f>tbl_Apartment_Multi[[#This Row],[ColdWaterCentralDHW]]*(tbl_Apartment_Multi[[#This Row],[Apartments]]-tbl_Apartment_Multi[[#This Row],[CentralACWater]])/tbl_Apartment_Multi[[#This Row],[Apartments]]</f>
        <v>0</v>
      </c>
      <c r="CA6" s="36">
        <f>tbl_Apartment_Multi[[#This Row],[ColdWaterCentralNoDHW]]*tbl_Apartment_Multi[[#This Row],[CentralACWater]]/tbl_Apartment_Multi[[#This Row],[Apartments]]</f>
        <v>93</v>
      </c>
      <c r="CB6" s="36">
        <f>tbl_Apartment_Multi[[#This Row],[ColdWaterCentralNoDHW]]*(tbl_Apartment_Multi[[#This Row],[Apartments]]-tbl_Apartment_Multi[[#This Row],[CentralACWater]])/tbl_Apartment_Multi[[#This Row],[Apartments]]</f>
        <v>0</v>
      </c>
      <c r="CC6" s="36">
        <f t="shared" si="2"/>
        <v>190</v>
      </c>
      <c r="CD6" s="36">
        <f t="shared" si="3"/>
        <v>144</v>
      </c>
      <c r="CE6" s="36">
        <f t="shared" si="4"/>
        <v>156</v>
      </c>
      <c r="CF6" s="36">
        <f t="shared" si="5"/>
        <v>110</v>
      </c>
      <c r="CG6" s="36">
        <f t="shared" si="6"/>
        <v>138</v>
      </c>
      <c r="CH6" s="36">
        <f t="shared" si="7"/>
        <v>92</v>
      </c>
      <c r="CI6" s="36">
        <f>tbl_Apartment_Multi[[#This Row],[ Number Single Water meter with central AC]]/tbl_Apartment_Multi[[Apartments]:[Apartments]]*Apartment_C_W_SWMAC</f>
        <v>51.428571428571423</v>
      </c>
      <c r="CJ6" s="36">
        <f>tbl_Apartment_Multi[[#This Row],[ Number Single Water meter no central AC]]/tbl_Apartment_Multi[[Apartments]:[Apartments]]*Apartment_C_W_SWMNoAC</f>
        <v>0</v>
      </c>
      <c r="CK6" s="36">
        <f>tbl_Apartment_Multi[[#This Row],[ Number Apt water meter, central AC, DHW]]/tbl_Apartment_Multi[[Apartments]:[Apartments]]*Apartment_C_W_AWMACDHW</f>
        <v>4.6917293233082704</v>
      </c>
      <c r="CL6" s="36">
        <f>tbl_Apartment_Multi[[#This Row],[ Number Apt water meter, no central AC, DHW]]/tbl_Apartment_Multi[[Apartments]:[Apartments]]*Apartment_C_W_AWMNoACDHW</f>
        <v>0</v>
      </c>
      <c r="CM6" s="36">
        <f>tbl_Apartment_Multi[[#This Row],[ Number Apt water meter, central AC, no DHW]]/tbl_Apartment_Multi[[Apartments]:[Apartments]]*Apartment_C_W_AWMACNoDHW</f>
        <v>96.496240601503757</v>
      </c>
      <c r="CN6" s="36">
        <f>tbl_Apartment_Multi[[#This Row],[ Number Apt water meter, no central AC, no DHW]]/tbl_Apartment_Multi[[Apartments]:[Apartments]]*Apartment_C_W_AWMNoACNoDHW</f>
        <v>0</v>
      </c>
      <c r="CO6" s="44">
        <f>tbl_Apartment_Multi[[#This Row],[er]]*tbl_Apartment_Multi[[#This Row],[Apartments]]</f>
        <v>690295.02628193435</v>
      </c>
      <c r="CP6" s="48">
        <f>(tbl_Apartment_Multi[[#This Row],[Target Energy]]-7)/(-6/159)+Apartment_BF_Rating_Correction</f>
        <v>71.555000000000007</v>
      </c>
      <c r="CQ6" s="44">
        <f>tbl_Apartment_Multi[[#This Row],[Target Max Energy BF]]/100*tbl_Apartment_Multi[[er]:[er]]</f>
        <v>3713.839143278482</v>
      </c>
      <c r="CR6" s="44">
        <f>tbl_Apartment_Multi[[#This Row],[Target Max e]]*tbl_Apartment_Multi[[Apartments]:[Apartments]]</f>
        <v>493940.60605603812</v>
      </c>
      <c r="CS6" s="44">
        <f>tbl_Apartment_Multi[[#This Row],[Target Max CO2]]/tbl_Apartment_Multi[[EffGHG]:[EffGHG]]</f>
        <v>2425349.4521735664</v>
      </c>
      <c r="CT6" s="44">
        <f>tbl_Apartment_Multi[[#This Row],[Target Max Energy (MJ)]]/tbl_Apartment_Multi[[#This Row],[Apartments]]</f>
        <v>18235.710166718545</v>
      </c>
      <c r="CU6" s="44">
        <f>ROUNDDOWN(tbl_Apartment_Multi[[#This Row],[Target Max Energy (MJ)]]*tbl_Apartment_Multi[[Electricity (%)]:[Electricity (%)]]/tbl_Apartment_Multi[[CFelec]:[CFelec]],0)</f>
        <v>505281</v>
      </c>
      <c r="CV6" s="44">
        <f>ROUNDDOWN(tbl_Apartment_Multi[[#This Row],[Target Max Energy (MJ)]]*tbl_Apartment_Multi[[Gas (%)]:[Gas (%)]],0)</f>
        <v>606337</v>
      </c>
      <c r="CW6" s="44">
        <f>ROUNDDOWN(tbl_Apartment_Multi[[#This Row],[Target Max Energy (MJ)]]*tbl_Apartment_Multi[[Diesel (%)]:[Diesel (%)]]/tbl_Apartment_Multi[[CFdiesel]:[CFdiesel]],0)</f>
        <v>0</v>
      </c>
      <c r="CX6" s="44">
        <f>SUM(tbl_Apartment_Multi[[#This Row],[Target Max Elec (kWh)]]*tbl_Apartment_Multi[[#This Row],[SGEe Scopes 1,2&amp;3]],
tbl_Apartment_Multi[[#This Row],[Target Max Gas (MJ)]]*tbl_Apartment_Multi[[#This Row],[SGEg Scopes 1,2&amp;3]],
tbl_Apartment_Multi[[#This Row],[Target Max Diesel (L)]]*tbl_Apartment_Multi[[#This Row],[SGEd Scopes 1,2&amp;3]])</f>
        <v>569267.75361000001</v>
      </c>
      <c r="CY6" s="44">
        <f>SUM(tbl_Apartment_Multi[[#This Row],[Target Max Elec (kWh)]]*tbl_Apartment_Multi[[#This Row],[SGEe Scopes 1&amp;2]],
tbl_Apartment_Multi[[#This Row],[Target Max Gas (MJ)]]*tbl_Apartment_Multi[[#This Row],[SGEg Scopes 1&amp;2]],
tbl_Apartment_Multi[[#This Row],[Target Max Diesel (L)]]*tbl_Apartment_Multi[[#This Row],[SGEd Scopes 1&amp;2]])</f>
        <v>516314.30561000004</v>
      </c>
      <c r="CZ6" s="47">
        <f>tbl_Apartment_Multi[[#This Row],[wr]]*tbl_Apartment_Multi[[#This Row],[Apartments]]</f>
        <v>20298</v>
      </c>
      <c r="DA6" s="36">
        <f>(tbl_Apartment_Multi[[#This Row],[Target Water]]-7)/(-6/159)+Apartment_BF_Rating_Correction</f>
        <v>82.155000000000001</v>
      </c>
      <c r="DB6" s="47">
        <f>ROUNDDOWN(tbl_Apartment_Multi[[#This Row],[Target Max Water BF]]/100*tbl_Apartment_Multi[[wr]:[wr]]*tbl_Apartment_Multi[[Apartments]:[Apartments]],0)</f>
        <v>16675</v>
      </c>
      <c r="DC6" s="47">
        <f>tbl_Apartment_Multi[[#This Row],[Target Max Water BF]]/100*tbl_Apartment_Multi[[wr]:[wr]]</f>
        <v>125.38211954887218</v>
      </c>
      <c r="DD6" s="36">
        <f>(LEFT(tbl_Apartment_Multi[[#Headers],[6.0* Max BF]],3)-7)/(-6/159)+Apartment_BF_Rating_Correction</f>
        <v>26.504999999999999</v>
      </c>
      <c r="DE6" s="36">
        <f>(LEFT(tbl_Apartment_Multi[[#Headers],[5.5* Max BF]],3)-7)/(-6/159)+Apartment_BF_Rating_Correction</f>
        <v>39.755000000000003</v>
      </c>
      <c r="DF6" s="36">
        <f>(LEFT(tbl_Apartment_Multi[[#Headers],[5.0* Max BF]],3)-7)/(-6/159)+Apartment_BF_Rating_Correction</f>
        <v>53.005000000000003</v>
      </c>
      <c r="DG6" s="36">
        <f>(LEFT(tbl_Apartment_Multi[[#Headers],[4.5* Max BF]],3)-7)/(-6/159)+Apartment_BF_Rating_Correction</f>
        <v>66.254999999999995</v>
      </c>
      <c r="DH6" s="36">
        <f>(LEFT(tbl_Apartment_Multi[[#Headers],[4.0* Max BF]],3)-7)/(-6/159)+Apartment_BF_Rating_Correction</f>
        <v>79.504999999999995</v>
      </c>
      <c r="DI6" s="36">
        <f>(LEFT(tbl_Apartment_Multi[[#Headers],[3.5* Max BF]],3)-7)/(-6/159)+Apartment_BF_Rating_Correction</f>
        <v>92.754999999999995</v>
      </c>
      <c r="DJ6" s="36">
        <f>(LEFT(tbl_Apartment_Multi[[#Headers],[3.0* Max BF]],3)-7)/(-6/159)+Apartment_BF_Rating_Correction</f>
        <v>106.005</v>
      </c>
      <c r="DK6" s="36">
        <f>(LEFT(tbl_Apartment_Multi[[#Headers],[2.5* Max BF]],3)-7)/(-6/159)+Apartment_BF_Rating_Correction</f>
        <v>119.255</v>
      </c>
      <c r="DL6" s="36">
        <f>(LEFT(tbl_Apartment_Multi[[#Headers],[2.0* Max BF]],3)-7)/(-6/159)+Apartment_BF_Rating_Correction</f>
        <v>132.505</v>
      </c>
      <c r="DM6" s="36">
        <f>(LEFT(tbl_Apartment_Multi[[#Headers],[1.5* Max BF]],3)-7)/(-6/159)+Apartment_BF_Rating_Correction</f>
        <v>145.755</v>
      </c>
      <c r="DN6" s="36">
        <f>(LEFT(tbl_Apartment_Multi[[#Headers],[1.0* Max BF]],3)-7)/(-6/159)+Apartment_BF_Rating_Correction</f>
        <v>159.005</v>
      </c>
      <c r="DO6" s="36">
        <f>(LEFT(tbl_Apartment_Multi[[#Headers],[0.0* Max BF]],3)-7)/(-6/159)+Apartment_BF_Rating_Correction</f>
        <v>185.505</v>
      </c>
      <c r="DP6" s="36">
        <f>tbl_Apartment_Multi[[#This Row],[6.0* Max BF]]/100*tbl_Apartment_Multi[[er]:[er]]</f>
        <v>1375.659373804712</v>
      </c>
      <c r="DQ6" s="36">
        <f>tbl_Apartment_Multi[[#This Row],[5.5* Max BF]]/100*tbl_Apartment_Multi[[er]:[er]]</f>
        <v>2063.3593060028797</v>
      </c>
      <c r="DR6" s="36">
        <f>tbl_Apartment_Multi[[#This Row],[5.0* Max BF]]/100*tbl_Apartment_Multi[[er]:[er]]</f>
        <v>2751.0592382010473</v>
      </c>
      <c r="DS6" s="36">
        <f>tbl_Apartment_Multi[[#This Row],[4.5* Max BF]]/100*tbl_Apartment_Multi[[er]:[er]]</f>
        <v>3438.7591703992148</v>
      </c>
      <c r="DT6" s="36">
        <f>tbl_Apartment_Multi[[#This Row],[4.0* Max BF]]/100*tbl_Apartment_Multi[[er]:[er]]</f>
        <v>4126.4591025973823</v>
      </c>
      <c r="DU6" s="36">
        <f>tbl_Apartment_Multi[[#This Row],[3.5* Max BF]]/100*tbl_Apartment_Multi[[er]:[er]]</f>
        <v>4814.1590347955498</v>
      </c>
      <c r="DV6" s="36">
        <f>tbl_Apartment_Multi[[#This Row],[3.0* Max BF]]/100*tbl_Apartment_Multi[[er]:[er]]</f>
        <v>5501.8589669937173</v>
      </c>
      <c r="DW6" s="36">
        <f>tbl_Apartment_Multi[[#This Row],[2.5* Max BF]]/100*tbl_Apartment_Multi[[er]:[er]]</f>
        <v>6189.5588991918858</v>
      </c>
      <c r="DX6" s="36">
        <f>tbl_Apartment_Multi[[#This Row],[2.0* Max BF]]/100*tbl_Apartment_Multi[[er]:[er]]</f>
        <v>6877.2588313900533</v>
      </c>
      <c r="DY6" s="36">
        <f>tbl_Apartment_Multi[[#This Row],[1.5* Max BF]]/100*tbl_Apartment_Multi[[er]:[er]]</f>
        <v>7564.9587635882199</v>
      </c>
      <c r="DZ6" s="36">
        <f>tbl_Apartment_Multi[[#This Row],[1.0* Max BF]]/100*tbl_Apartment_Multi[[er]:[er]]</f>
        <v>8252.6586957863874</v>
      </c>
      <c r="EA6" s="36">
        <f>tbl_Apartment_Multi[[#This Row],[0.0* Max BF]]/100*tbl_Apartment_Multi[[er]:[er]]</f>
        <v>9628.0585601827224</v>
      </c>
      <c r="EB6" s="44">
        <f>tbl_Apartment_Multi[[#This Row],[6.0* Max e]]*tbl_Apartment_Multi[[Apartments]:[Apartments]]</f>
        <v>182962.69671602669</v>
      </c>
      <c r="EC6" s="44">
        <f>tbl_Apartment_Multi[[#This Row],[5.5* Max e]]*tbl_Apartment_Multi[[Apartments]:[Apartments]]</f>
        <v>274426.78769838298</v>
      </c>
      <c r="ED6" s="44">
        <f>tbl_Apartment_Multi[[#This Row],[5.0* Max e]]*tbl_Apartment_Multi[[Apartments]:[Apartments]]</f>
        <v>365890.87868073926</v>
      </c>
      <c r="EE6" s="44">
        <f>tbl_Apartment_Multi[[#This Row],[4.5* Max e]]*tbl_Apartment_Multi[[Apartments]:[Apartments]]</f>
        <v>457354.96966309554</v>
      </c>
      <c r="EF6" s="44">
        <f>tbl_Apartment_Multi[[#This Row],[4.0* Max e]]*tbl_Apartment_Multi[[Apartments]:[Apartments]]</f>
        <v>548819.06064545189</v>
      </c>
      <c r="EG6" s="44">
        <f>tbl_Apartment_Multi[[#This Row],[3.5* Max e]]*tbl_Apartment_Multi[[Apartments]:[Apartments]]</f>
        <v>640283.15162780811</v>
      </c>
      <c r="EH6" s="44">
        <f>tbl_Apartment_Multi[[#This Row],[3.0* Max e]]*tbl_Apartment_Multi[[Apartments]:[Apartments]]</f>
        <v>731747.24261016445</v>
      </c>
      <c r="EI6" s="44">
        <f>tbl_Apartment_Multi[[#This Row],[2.5* Max e]]*tbl_Apartment_Multi[[Apartments]:[Apartments]]</f>
        <v>823211.33359252079</v>
      </c>
      <c r="EJ6" s="44">
        <f>tbl_Apartment_Multi[[#This Row],[2.0* Max e]]*tbl_Apartment_Multi[[Apartments]:[Apartments]]</f>
        <v>914675.42457487714</v>
      </c>
      <c r="EK6" s="44">
        <f>tbl_Apartment_Multi[[#This Row],[1.5* Max e]]*tbl_Apartment_Multi[[Apartments]:[Apartments]]</f>
        <v>1006139.5155572332</v>
      </c>
      <c r="EL6" s="44">
        <f>tbl_Apartment_Multi[[#This Row],[1.0* Max e]]*tbl_Apartment_Multi[[Apartments]:[Apartments]]</f>
        <v>1097603.6065395896</v>
      </c>
      <c r="EM6" s="44">
        <f>tbl_Apartment_Multi[[#This Row],[0.0* Max e]]*tbl_Apartment_Multi[[Apartments]:[Apartments]]</f>
        <v>1280531.788504302</v>
      </c>
      <c r="EN6" s="44">
        <f>tbl_Apartment_Multi[[#This Row],[6.0* Max CO2]]/tbl_Apartment_Multi[[EffGHG]:[EffGHG]]</f>
        <v>898384.28104060353</v>
      </c>
      <c r="EO6" s="44">
        <f>tbl_Apartment_Multi[[#This Row],[5.5* Max CO2]]/tbl_Apartment_Multi[[EffGHG]:[EffGHG]]</f>
        <v>1347491.6843150044</v>
      </c>
      <c r="EP6" s="44">
        <f>tbl_Apartment_Multi[[#This Row],[5.0* Max CO2]]/tbl_Apartment_Multi[[EffGHG]:[EffGHG]]</f>
        <v>1796599.0875894052</v>
      </c>
      <c r="EQ6" s="44">
        <f>tbl_Apartment_Multi[[#This Row],[4.5* Max CO2]]/tbl_Apartment_Multi[[EffGHG]:[EffGHG]]</f>
        <v>2245706.4908638061</v>
      </c>
      <c r="ER6" s="44">
        <f>tbl_Apartment_Multi[[#This Row],[4.0* Max CO2]]/tbl_Apartment_Multi[[EffGHG]:[EffGHG]]</f>
        <v>2694813.8941382072</v>
      </c>
      <c r="ES6" s="44">
        <f>tbl_Apartment_Multi[[#This Row],[3.5* Max CO2]]/tbl_Apartment_Multi[[EffGHG]:[EffGHG]]</f>
        <v>3143921.2974126078</v>
      </c>
      <c r="ET6" s="44">
        <f>tbl_Apartment_Multi[[#This Row],[3.0* Max CO2]]/tbl_Apartment_Multi[[EffGHG]:[EffGHG]]</f>
        <v>3593028.7006870089</v>
      </c>
      <c r="EU6" s="44">
        <f>tbl_Apartment_Multi[[#This Row],[2.5* Max CO2]]/tbl_Apartment_Multi[[EffGHG]:[EffGHG]]</f>
        <v>4042136.10396141</v>
      </c>
      <c r="EV6" s="44">
        <f>tbl_Apartment_Multi[[#This Row],[2.0* Max CO2]]/tbl_Apartment_Multi[[EffGHG]:[EffGHG]]</f>
        <v>4491243.5072358111</v>
      </c>
      <c r="EW6" s="44">
        <f>tbl_Apartment_Multi[[#This Row],[1.5* Max CO2]]/tbl_Apartment_Multi[[EffGHG]:[EffGHG]]</f>
        <v>4940350.9105102113</v>
      </c>
      <c r="EX6" s="44">
        <f>tbl_Apartment_Multi[[#This Row],[1.0* Max CO2]]/tbl_Apartment_Multi[[EffGHG]:[EffGHG]]</f>
        <v>5389458.3137846123</v>
      </c>
      <c r="EY6" s="44">
        <f>tbl_Apartment_Multi[[#This Row],[0.0* Max CO2]]/tbl_Apartment_Multi[[EffGHG]:[EffGHG]]</f>
        <v>6287673.1203334136</v>
      </c>
      <c r="EZ6" s="44">
        <f>ROUNDDOWN(tbl_Apartment_Multi[[#This Row],[6.0* Max Energy (MJ)]]*tbl_Apartment_Multi[[Electricity (%)]:[Electricity (%)]]/tbl_Apartment_Multi[[CFelec]:[CFelec]],0)</f>
        <v>187163</v>
      </c>
      <c r="FA6" s="44">
        <f>ROUNDDOWN(tbl_Apartment_Multi[[#This Row],[5.5* Max Energy (MJ)]]*tbl_Apartment_Multi[[Electricity (%)]:[Electricity (%)]]/tbl_Apartment_Multi[[CFelec]:[CFelec]],0)</f>
        <v>280727</v>
      </c>
      <c r="FB6" s="44">
        <f>ROUNDDOWN(tbl_Apartment_Multi[[#This Row],[5.0* Max Energy (MJ)]]*tbl_Apartment_Multi[[Electricity (%)]:[Electricity (%)]]/tbl_Apartment_Multi[[CFelec]:[CFelec]],0)</f>
        <v>374291</v>
      </c>
      <c r="FC6" s="44">
        <f>ROUNDDOWN(tbl_Apartment_Multi[[#This Row],[4.5* Max Energy (MJ)]]*tbl_Apartment_Multi[[Electricity (%)]:[Electricity (%)]]/tbl_Apartment_Multi[[CFelec]:[CFelec]],0)</f>
        <v>467855</v>
      </c>
      <c r="FD6" s="44">
        <f>ROUNDDOWN(tbl_Apartment_Multi[[#This Row],[4.0* Max Energy (MJ)]]*tbl_Apartment_Multi[[Electricity (%)]:[Electricity (%)]]/tbl_Apartment_Multi[[CFelec]:[CFelec]],0)</f>
        <v>561419</v>
      </c>
      <c r="FE6" s="44">
        <f>ROUNDDOWN(tbl_Apartment_Multi[[#This Row],[3.5* Max Energy (MJ)]]*tbl_Apartment_Multi[[Electricity (%)]:[Electricity (%)]]/tbl_Apartment_Multi[[CFelec]:[CFelec]],0)</f>
        <v>654983</v>
      </c>
      <c r="FF6" s="44">
        <f>ROUNDDOWN(tbl_Apartment_Multi[[#This Row],[3.0* Max Energy (MJ)]]*tbl_Apartment_Multi[[Electricity (%)]:[Electricity (%)]]/tbl_Apartment_Multi[[CFelec]:[CFelec]],0)</f>
        <v>748547</v>
      </c>
      <c r="FG6" s="44">
        <f>ROUNDDOWN(tbl_Apartment_Multi[[#This Row],[2.5* Max Energy (MJ)]]*tbl_Apartment_Multi[[Electricity (%)]:[Electricity (%)]]/tbl_Apartment_Multi[[CFelec]:[CFelec]],0)</f>
        <v>842111</v>
      </c>
      <c r="FH6" s="44">
        <f>ROUNDDOWN(tbl_Apartment_Multi[[#This Row],[2.0* Max Energy (MJ)]]*tbl_Apartment_Multi[[Electricity (%)]:[Electricity (%)]]/tbl_Apartment_Multi[[CFelec]:[CFelec]],0)</f>
        <v>935675</v>
      </c>
      <c r="FI6" s="44">
        <f>ROUNDDOWN(tbl_Apartment_Multi[[#This Row],[1.5* Max Energy (MJ)]]*tbl_Apartment_Multi[[Electricity (%)]:[Electricity (%)]]/tbl_Apartment_Multi[[CFelec]:[CFelec]],0)</f>
        <v>1029239</v>
      </c>
      <c r="FJ6" s="44">
        <f>ROUNDDOWN(tbl_Apartment_Multi[[#This Row],[1.0* Max Energy (MJ)]]*tbl_Apartment_Multi[[Electricity (%)]:[Electricity (%)]]/tbl_Apartment_Multi[[CFelec]:[CFelec]],0)</f>
        <v>1122803</v>
      </c>
      <c r="FK6" s="44">
        <f>ROUNDDOWN(tbl_Apartment_Multi[[#This Row],[0.0* Max Energy (MJ)]]*tbl_Apartment_Multi[[Electricity (%)]:[Electricity (%)]]/tbl_Apartment_Multi[[CFelec]:[CFelec]],0)</f>
        <v>1309931</v>
      </c>
      <c r="FL6" s="44">
        <f>ROUNDDOWN(tbl_Apartment_Multi[[#This Row],[6.0* Max Energy (MJ)]]*tbl_Apartment_Multi[[Gas (%)]:[Gas (%)]],0)</f>
        <v>224596</v>
      </c>
      <c r="FM6" s="44">
        <f>ROUNDDOWN(tbl_Apartment_Multi[[#This Row],[5.5* Max Energy (MJ)]]*tbl_Apartment_Multi[[Gas (%)]:[Gas (%)]],0)</f>
        <v>336872</v>
      </c>
      <c r="FN6" s="44">
        <f>ROUNDDOWN(tbl_Apartment_Multi[[#This Row],[5.0* Max Energy (MJ)]]*tbl_Apartment_Multi[[Gas (%)]:[Gas (%)]],0)</f>
        <v>449149</v>
      </c>
      <c r="FO6" s="44">
        <f>ROUNDDOWN(tbl_Apartment_Multi[[#This Row],[4.5* Max Energy (MJ)]]*tbl_Apartment_Multi[[Gas (%)]:[Gas (%)]],0)</f>
        <v>561426</v>
      </c>
      <c r="FP6" s="44">
        <f>ROUNDDOWN(tbl_Apartment_Multi[[#This Row],[4.0* Max Energy (MJ)]]*tbl_Apartment_Multi[[Gas (%)]:[Gas (%)]],0)</f>
        <v>673703</v>
      </c>
      <c r="FQ6" s="44">
        <f>ROUNDDOWN(tbl_Apartment_Multi[[#This Row],[3.5* Max Energy (MJ)]]*tbl_Apartment_Multi[[Gas (%)]:[Gas (%)]],0)</f>
        <v>785980</v>
      </c>
      <c r="FR6" s="44">
        <f>ROUNDDOWN(tbl_Apartment_Multi[[#This Row],[3.0* Max Energy (MJ)]]*tbl_Apartment_Multi[[Gas (%)]:[Gas (%)]],0)</f>
        <v>898257</v>
      </c>
      <c r="FS6" s="44">
        <f>ROUNDDOWN(tbl_Apartment_Multi[[#This Row],[2.5* Max Energy (MJ)]]*tbl_Apartment_Multi[[Gas (%)]:[Gas (%)]],0)</f>
        <v>1010534</v>
      </c>
      <c r="FT6" s="44">
        <f>ROUNDDOWN(tbl_Apartment_Multi[[#This Row],[2.0* Max Energy (MJ)]]*tbl_Apartment_Multi[[Gas (%)]:[Gas (%)]],0)</f>
        <v>1122810</v>
      </c>
      <c r="FU6" s="44">
        <f>ROUNDDOWN(tbl_Apartment_Multi[[#This Row],[1.5* Max Energy (MJ)]]*tbl_Apartment_Multi[[Gas (%)]:[Gas (%)]],0)</f>
        <v>1235087</v>
      </c>
      <c r="FV6" s="44">
        <f>ROUNDDOWN(tbl_Apartment_Multi[[#This Row],[1.0* Max Energy (MJ)]]*tbl_Apartment_Multi[[Gas (%)]:[Gas (%)]],0)</f>
        <v>1347364</v>
      </c>
      <c r="FW6" s="44">
        <f>ROUNDDOWN(tbl_Apartment_Multi[[#This Row],[0.0* Max Energy (MJ)]]*tbl_Apartment_Multi[[Gas (%)]:[Gas (%)]],0)</f>
        <v>1571918</v>
      </c>
      <c r="FX6" s="44">
        <f>ROUNDDOWN(tbl_Apartment_Multi[[#This Row],[6.0* Max Energy (MJ)]]*tbl_Apartment_Multi[[Diesel (%)]:[Diesel (%)]]/tbl_Apartment_Multi[[CFdiesel]:[CFdiesel]],0)</f>
        <v>0</v>
      </c>
      <c r="FY6" s="44">
        <f>ROUNDDOWN(tbl_Apartment_Multi[[#This Row],[5.5* Max Energy (MJ)]]*tbl_Apartment_Multi[[Diesel (%)]:[Diesel (%)]]/tbl_Apartment_Multi[[CFdiesel]:[CFdiesel]],0)</f>
        <v>0</v>
      </c>
      <c r="FZ6" s="44">
        <f>ROUNDDOWN(tbl_Apartment_Multi[[#This Row],[5.0* Max Energy (MJ)]]*tbl_Apartment_Multi[[Diesel (%)]:[Diesel (%)]]/tbl_Apartment_Multi[[CFdiesel]:[CFdiesel]],0)</f>
        <v>0</v>
      </c>
      <c r="GA6" s="44">
        <f>ROUNDDOWN(tbl_Apartment_Multi[[#This Row],[4.5* Max Energy (MJ)]]*tbl_Apartment_Multi[[Diesel (%)]:[Diesel (%)]]/tbl_Apartment_Multi[[CFdiesel]:[CFdiesel]],0)</f>
        <v>0</v>
      </c>
      <c r="GB6" s="44">
        <f>ROUNDDOWN(tbl_Apartment_Multi[[#This Row],[4.0* Max Energy (MJ)]]*tbl_Apartment_Multi[[Diesel (%)]:[Diesel (%)]]/tbl_Apartment_Multi[[CFdiesel]:[CFdiesel]],0)</f>
        <v>0</v>
      </c>
      <c r="GC6" s="44">
        <f>ROUNDDOWN(tbl_Apartment_Multi[[#This Row],[3.5* Max Energy (MJ)]]*tbl_Apartment_Multi[[Diesel (%)]:[Diesel (%)]]/tbl_Apartment_Multi[[CFdiesel]:[CFdiesel]],0)</f>
        <v>0</v>
      </c>
      <c r="GD6" s="44">
        <f>ROUNDDOWN(tbl_Apartment_Multi[[#This Row],[3.0* Max Energy (MJ)]]*tbl_Apartment_Multi[[Diesel (%)]:[Diesel (%)]]/tbl_Apartment_Multi[[CFdiesel]:[CFdiesel]],0)</f>
        <v>0</v>
      </c>
      <c r="GE6" s="44">
        <f>ROUNDDOWN(tbl_Apartment_Multi[[#This Row],[2.5* Max Energy (MJ)]]*tbl_Apartment_Multi[[Diesel (%)]:[Diesel (%)]]/tbl_Apartment_Multi[[CFdiesel]:[CFdiesel]],0)</f>
        <v>0</v>
      </c>
      <c r="GF6" s="44">
        <f>ROUNDDOWN(tbl_Apartment_Multi[[#This Row],[2.0* Max Energy (MJ)]]*tbl_Apartment_Multi[[Diesel (%)]:[Diesel (%)]]/tbl_Apartment_Multi[[CFdiesel]:[CFdiesel]],0)</f>
        <v>0</v>
      </c>
      <c r="GG6" s="44">
        <f>ROUNDDOWN(tbl_Apartment_Multi[[#This Row],[1.5* Max Energy (MJ)]]*tbl_Apartment_Multi[[Diesel (%)]:[Diesel (%)]]/tbl_Apartment_Multi[[CFdiesel]:[CFdiesel]],0)</f>
        <v>0</v>
      </c>
      <c r="GH6" s="44">
        <f>ROUNDDOWN(tbl_Apartment_Multi[[#This Row],[1.0* Max Energy (MJ)]]*tbl_Apartment_Multi[[Diesel (%)]:[Diesel (%)]]/tbl_Apartment_Multi[[CFdiesel]:[CFdiesel]],0)</f>
        <v>0</v>
      </c>
      <c r="GI6" s="44">
        <f>ROUNDDOWN(tbl_Apartment_Multi[[#This Row],[0.0* Max Energy (MJ)]]*tbl_Apartment_Multi[[Diesel (%)]:[Diesel (%)]]/tbl_Apartment_Multi[[CFdiesel]:[CFdiesel]],0)</f>
        <v>0</v>
      </c>
      <c r="GJ6" s="44">
        <f>ROUNDDOWN(tbl_Apartment_Multi[[#This Row],[6.0* Max BF]]/100*tbl_Apartment_Multi[[wr]:[wr]]*tbl_Apartment_Multi[[Apartments]:[Apartments]],0)</f>
        <v>5379</v>
      </c>
      <c r="GK6" s="44">
        <f>ROUNDDOWN(tbl_Apartment_Multi[[#This Row],[5.5* Max BF]]/100*tbl_Apartment_Multi[[wr]:[wr]]*tbl_Apartment_Multi[[Apartments]:[Apartments]],0)</f>
        <v>8069</v>
      </c>
      <c r="GL6" s="44">
        <f>ROUNDDOWN(tbl_Apartment_Multi[[#This Row],[5.0* Max BF]]/100*tbl_Apartment_Multi[[wr]:[wr]]*tbl_Apartment_Multi[[Apartments]:[Apartments]],0)</f>
        <v>10758</v>
      </c>
      <c r="GM6" s="44">
        <f>ROUNDDOWN(tbl_Apartment_Multi[[#This Row],[4.5* Max BF]]/100*tbl_Apartment_Multi[[wr]:[wr]]*tbl_Apartment_Multi[[Apartments]:[Apartments]],0)</f>
        <v>13448</v>
      </c>
      <c r="GN6" s="44">
        <f>ROUNDDOWN(tbl_Apartment_Multi[[#This Row],[4.0* Max BF]]/100*tbl_Apartment_Multi[[wr]:[wr]]*tbl_Apartment_Multi[[Apartments]:[Apartments]],0)</f>
        <v>16137</v>
      </c>
      <c r="GO6" s="44">
        <f>ROUNDDOWN(tbl_Apartment_Multi[[#This Row],[3.5* Max BF]]/100*tbl_Apartment_Multi[[wr]:[wr]]*tbl_Apartment_Multi[[Apartments]:[Apartments]],0)</f>
        <v>18827</v>
      </c>
      <c r="GP6" s="44">
        <f>ROUNDDOWN(tbl_Apartment_Multi[[#This Row],[3.0* Max BF]]/100*tbl_Apartment_Multi[[wr]:[wr]]*tbl_Apartment_Multi[[Apartments]:[Apartments]],0)</f>
        <v>21516</v>
      </c>
      <c r="GQ6" s="44">
        <f>ROUNDDOWN(tbl_Apartment_Multi[[#This Row],[2.5* Max BF]]/100*tbl_Apartment_Multi[[wr]:[wr]]*tbl_Apartment_Multi[[Apartments]:[Apartments]],0)</f>
        <v>24206</v>
      </c>
      <c r="GR6" s="44">
        <f>ROUNDDOWN(tbl_Apartment_Multi[[#This Row],[2.0* Max BF]]/100*tbl_Apartment_Multi[[wr]:[wr]]*tbl_Apartment_Multi[[Apartments]:[Apartments]],0)</f>
        <v>26895</v>
      </c>
      <c r="GS6" s="44">
        <f>ROUNDDOWN(tbl_Apartment_Multi[[#This Row],[1.5* Max BF]]/100*tbl_Apartment_Multi[[wr]:[wr]]*tbl_Apartment_Multi[[Apartments]:[Apartments]],0)</f>
        <v>29585</v>
      </c>
      <c r="GT6" s="44">
        <f>ROUNDDOWN(tbl_Apartment_Multi[[#This Row],[1.0* Max BF]]/100*tbl_Apartment_Multi[[wr]:[wr]]*tbl_Apartment_Multi[[Apartments]:[Apartments]],0)</f>
        <v>32274</v>
      </c>
      <c r="GU6" s="44">
        <f>ROUNDDOWN(tbl_Apartment_Multi[[#This Row],[0.0* Max BF]]/100*tbl_Apartment_Multi[[wr]:[wr]]*tbl_Apartment_Multi[[Apartments]:[Apartments]],0)</f>
        <v>37653</v>
      </c>
      <c r="GV6" s="44">
        <f>SUM(tbl_Apartment_Multi[[#This Row],[Electricity]]*(1-tbl_Apartment_Multi[[#This Row],[GP]])*tbl_Apartment_Multi[[#This Row],[SGEe Scopes 1,2&amp;3]],
tbl_Apartment_Multi[[#This Row],[Gas]]*tbl_Apartment_Multi[[#This Row],[SGEg Scopes 1,2&amp;3]],
tbl_Apartment_Multi[[#This Row],[Diesel]]*tbl_Apartment_Multi[[#This Row],[SGEd Scopes 1,2&amp;3]])</f>
        <v>528095.10420000006</v>
      </c>
      <c r="GW6" s="44">
        <f>SUM(tbl_Apartment_Multi[[#This Row],[Electricity]]*(1-tbl_Apartment_Multi[[#This Row],[GP]])*tbl_Apartment_Multi[[#This Row],[SGEe Scopes 1&amp;2]],
tbl_Apartment_Multi[[#This Row],[Gas]]*tbl_Apartment_Multi[[#This Row],[SGEg Scopes 1&amp;2]],
tbl_Apartment_Multi[[#This Row],[Diesel]]*tbl_Apartment_Multi[[#This Row],[SGEd Scopes 1&amp;2]])</f>
        <v>480452.87971999997</v>
      </c>
      <c r="GX6" s="45">
        <f>IF(tbl_Apartment_Multi[[#This Row],[Energy Star Decimal (with GP)]]&lt;1,0,MIN(ROUNDDOWN(tbl_Apartment_Multi[[#This Row],[Energy Star Decimal (with GP)]]*2,0)/2,6))</f>
        <v>4</v>
      </c>
      <c r="GY6" s="45">
        <f>((tbl_Apartment_Multi[[#This Row],[e-BF (with GP)]]*(-6/159)+7)*2)/2</f>
        <v>4.4106081082062412</v>
      </c>
      <c r="GZ6" s="45">
        <f>IF(tbl_Apartment_Multi[[#This Row],[Energy Star Decimal (no GP)]]&lt;1,0,MIN(ROUNDDOWN(tbl_Apartment_Multi[[#This Row],[Energy Star Decimal (no GP)]]*2,0)/2,6))</f>
        <v>4</v>
      </c>
      <c r="HA6" s="45">
        <f>((tbl_Apartment_Multi[[#This Row],[e-BF (no GP)]]*(-6/159)+7)*2)/2</f>
        <v>4.4106081082062412</v>
      </c>
      <c r="HB6" s="45">
        <f>SUM(tbl_Apartment_Multi[[#This Row],[Electricity]]*(1-tbl_Apartment_Multi[[#This Row],[GP]])*tbl_Apartment_Multi[[#This Row],[SGEe]],
tbl_Apartment_Multi[[#This Row],[Gas]]*tbl_Apartment_Multi[[#This Row],[SGEg]],
tbl_Apartment_Multi[[#This Row],[Diesel]]*tbl_Apartment_Multi[[#This Row],[SGEd]])
/tbl_Apartment_Multi[[#This Row],[Apartments]]</f>
        <v>3561.449256842106</v>
      </c>
      <c r="HC6" s="45">
        <f>SUM(tbl_Apartment_Multi[[#This Row],[Electricity]]*tbl_Apartment_Multi[[#This Row],[SGEe]],
tbl_Apartment_Multi[[#This Row],[Gas]]*tbl_Apartment_Multi[[#This Row],[SGEg]],
tbl_Apartment_Multi[[#This Row],[Diesel]]*tbl_Apartment_Multi[[#This Row],[SGEd]])
/tbl_Apartment_Multi[[#This Row],[Apartments]]</f>
        <v>3561.449256842106</v>
      </c>
      <c r="HD6" s="45">
        <f>tbl_Apartment_Multi[[#This Row],[e (with GP)]]/tbl_Apartment_Multi[[#This Row],[er]]*100</f>
        <v>68.618885132534615</v>
      </c>
      <c r="HE6" s="45">
        <f>tbl_Apartment_Multi[[#This Row],[e (no GP)]]/tbl_Apartment_Multi[[#This Row],[er]]*100</f>
        <v>68.618885132534615</v>
      </c>
      <c r="HF6" s="45">
        <f>IF(tbl_Apartment_Multi[[#This Row],[Water Star Decimal (with recyc)]]&lt;1,0,MIN(ROUNDDOWN(tbl_Apartment_Multi[[#This Row],[Water Star Decimal (with recyc)]]*2,0)/2,6))</f>
        <v>2.5</v>
      </c>
      <c r="HG6" s="46">
        <f>((tbl_Apartment_Multi[[#This Row],[w-BF (with recyc)]]*(-6/159)+7)*2)/2</f>
        <v>2.5826115408712074</v>
      </c>
      <c r="HH6" s="45">
        <f>IF(tbl_Apartment_Multi[[#This Row],[Water Star Decimal (no recyc)]]&lt;1,0,MIN(ROUNDDOWN(tbl_Apartment_Multi[[#This Row],[Water Star Decimal (no recyc)]]*2,0)/2,6))</f>
        <v>2.5</v>
      </c>
      <c r="HI6" s="262">
        <f>((tbl_Apartment_Multi[[#This Row],[w-BF (no recyc)]]*(-6/159)+7)*2)/2</f>
        <v>2.5826115408712074</v>
      </c>
      <c r="HJ6" s="36">
        <f>tbl_Apartment_Multi[[#This Row],[Water]]*(1-tbl_Apartment_Multi[[#This Row],[RW]])/tbl_Apartment_Multi[[#This Row],[NCAC]]</f>
        <v>178.65413533834587</v>
      </c>
      <c r="HK6" s="36">
        <f>tbl_Apartment_Multi[[#This Row],[Water]]/tbl_Apartment_Multi[[#This Row],[NCAC]]</f>
        <v>178.65413533834587</v>
      </c>
      <c r="HL6" s="36">
        <f>tbl_Apartment_Multi[[#This Row],[w (with recyc)]]/tbl_Apartment_Multi[[#This Row],[wr]]*100</f>
        <v>117.060794166913</v>
      </c>
      <c r="HM6" s="36">
        <f>tbl_Apartment_Multi[[#This Row],[w (no recyc)]]/tbl_Apartment_Multi[[#This Row],[wr]]*100</f>
        <v>117.060794166913</v>
      </c>
    </row>
  </sheetData>
  <sheetProtection selectLockedCells="1"/>
  <phoneticPr fontId="45" type="noConversion"/>
  <dataValidations count="2">
    <dataValidation type="list" allowBlank="1" showInputMessage="1" showErrorMessage="1" sqref="I4:I6" xr:uid="{DD06B998-D209-436D-8756-7BADE9D91078}">
      <formula1>List_Apartment_Swimming_Pool_Type</formula1>
    </dataValidation>
    <dataValidation type="list" allowBlank="1" showInputMessage="1" showErrorMessage="1" sqref="K4:K6" xr:uid="{5D4BA946-7E84-4087-84A2-1EECFAE9CD6A}">
      <formula1>List_Apartment_Gym_Present</formula1>
    </dataValidation>
  </dataValidations>
  <pageMargins left="0.42" right="0.44" top="0.56000000000000005" bottom="0.6" header="0.34" footer="0.4"/>
  <pageSetup paperSize="9" orientation="portrait" blackAndWhite="1" r:id="rId1"/>
  <headerFooter alignWithMargins="0">
    <oddFooter>&amp;R&amp;D</oddFooter>
  </headerFooter>
  <ignoredErrors>
    <ignoredError sqref="GJ4:GU4 BJ4" calculatedColumn="1"/>
    <ignoredError sqref="C4:R4 S4:U4 AJ4:AO4" unlockedFormula="1"/>
  </ignoredErrors>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5C83F-887E-42FA-827C-5E9042EB8393}">
  <sheetPr codeName="Sheet8">
    <tabColor rgb="FF8AD1F3"/>
  </sheetPr>
  <dimension ref="A1:P65"/>
  <sheetViews>
    <sheetView showGridLines="0" zoomScale="80" zoomScaleNormal="80" workbookViewId="0">
      <selection activeCell="E12" sqref="E12"/>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4.28515625" style="1" bestFit="1" customWidth="1"/>
    <col min="8" max="8" width="2.28515625" style="1" customWidth="1"/>
    <col min="9" max="9" width="20.5703125" style="1" customWidth="1"/>
    <col min="10" max="15" width="9.28515625" style="1"/>
    <col min="16" max="16" width="12.28515625" style="1" bestFit="1" customWidth="1"/>
    <col min="17"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655</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656</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657</v>
      </c>
      <c r="C10" s="55"/>
      <c r="D10" s="55"/>
      <c r="E10" s="55"/>
      <c r="F10" s="55"/>
      <c r="G10" s="55"/>
      <c r="H10" s="55"/>
    </row>
    <row r="11" spans="1:10" ht="10.5" customHeight="1">
      <c r="B11" s="57"/>
      <c r="C11" s="55"/>
      <c r="D11" s="55"/>
      <c r="E11" s="55"/>
      <c r="F11" s="55"/>
      <c r="G11" s="55"/>
      <c r="H11" s="55"/>
    </row>
    <row r="12" spans="1:10" ht="30" customHeight="1">
      <c r="B12" s="57"/>
      <c r="C12" s="55"/>
      <c r="D12" s="55"/>
      <c r="E12" s="323" t="s">
        <v>21</v>
      </c>
    </row>
    <row r="13" spans="1:10" ht="18" customHeight="1">
      <c r="B13" s="6"/>
      <c r="C13" s="6"/>
      <c r="D13" s="6"/>
      <c r="E13" s="7"/>
      <c r="F13" s="314"/>
      <c r="G13" s="6"/>
      <c r="H13" s="6"/>
    </row>
    <row r="14" spans="1:10" ht="17.25" customHeight="1">
      <c r="B14" s="56" t="s">
        <v>22</v>
      </c>
      <c r="C14" s="55"/>
      <c r="D14" s="55"/>
      <c r="E14" s="55"/>
      <c r="F14" s="55"/>
      <c r="G14" s="55"/>
      <c r="H14" s="55"/>
    </row>
    <row r="15" spans="1:10" ht="10.5" customHeight="1">
      <c r="B15" s="57"/>
      <c r="C15" s="55"/>
      <c r="D15" s="55"/>
      <c r="E15" s="55"/>
      <c r="F15" s="55"/>
      <c r="G15" s="55"/>
      <c r="H15" s="55"/>
    </row>
    <row r="16" spans="1:10" s="22" customFormat="1" ht="30" customHeight="1">
      <c r="B16" s="24"/>
      <c r="C16" s="23"/>
      <c r="D16" s="23"/>
      <c r="E16" s="74"/>
      <c r="F16" s="51" t="s">
        <v>23</v>
      </c>
      <c r="G16" s="23"/>
      <c r="H16" s="23"/>
      <c r="I16" s="23"/>
      <c r="J16" s="23"/>
    </row>
    <row r="17" spans="1:10" s="22" customFormat="1" ht="17.25" customHeight="1">
      <c r="B17" s="25" t="str">
        <f>IF(MOD(Data_Centre_Target_Energy*10,1)/10&lt;=0,"","ERROR: Energy Rating must be in 0.1 star increment")</f>
        <v/>
      </c>
      <c r="C17" s="23"/>
      <c r="D17" s="23"/>
      <c r="E17" s="26"/>
      <c r="F17" s="23"/>
      <c r="G17" s="23"/>
      <c r="H17" s="23"/>
    </row>
    <row r="18" spans="1:10" ht="13.5" customHeight="1">
      <c r="B18" s="6"/>
      <c r="C18" s="6"/>
      <c r="D18" s="6"/>
      <c r="E18" s="7"/>
      <c r="F18" s="314"/>
      <c r="G18" s="6"/>
      <c r="H18" s="6"/>
    </row>
    <row r="19" spans="1:10" ht="13.5" customHeight="1">
      <c r="B19" s="6"/>
      <c r="C19" s="6"/>
      <c r="D19" s="6"/>
      <c r="E19" s="7"/>
      <c r="F19" s="314"/>
      <c r="G19" s="6"/>
      <c r="H19" s="6"/>
    </row>
    <row r="20" spans="1:10" ht="13.5" customHeight="1">
      <c r="B20" s="58"/>
      <c r="I20" s="14"/>
    </row>
    <row r="21" spans="1:10" ht="17.25" customHeight="1">
      <c r="B21" s="56" t="s">
        <v>24</v>
      </c>
      <c r="C21" s="55"/>
      <c r="D21" s="55"/>
      <c r="E21" s="55"/>
      <c r="F21" s="55"/>
      <c r="G21" s="55"/>
      <c r="H21" s="55"/>
    </row>
    <row r="22" spans="1:10" ht="10.5" customHeight="1">
      <c r="B22" s="312"/>
      <c r="C22" s="312"/>
      <c r="D22" s="312"/>
      <c r="E22" s="312"/>
      <c r="F22" s="312"/>
      <c r="G22" s="312"/>
      <c r="H22" s="312"/>
      <c r="I22" s="313"/>
      <c r="J22" s="313"/>
    </row>
    <row r="23" spans="1:10" s="8" customFormat="1" ht="20.25" customHeight="1">
      <c r="A23" s="71"/>
      <c r="B23" s="663" t="s">
        <v>25</v>
      </c>
      <c r="C23" s="664"/>
      <c r="D23" s="664"/>
      <c r="E23" s="664"/>
      <c r="F23" s="664"/>
      <c r="G23" s="665"/>
      <c r="I23" s="75"/>
    </row>
    <row r="24" spans="1:10" s="8" customFormat="1" ht="20.25" customHeight="1">
      <c r="A24" s="71"/>
      <c r="B24" s="59" t="str">
        <f>IF(Data_Centre_Rating_Type="Infrastructure","","Total Assessable Processing GHz (GHz)")</f>
        <v>Total Assessable Processing GHz (GHz)</v>
      </c>
      <c r="C24" s="324"/>
      <c r="D24" s="324"/>
      <c r="E24" s="324"/>
      <c r="F24" s="324"/>
      <c r="G24" s="348"/>
      <c r="I24" s="172"/>
    </row>
    <row r="25" spans="1:10" s="8" customFormat="1" ht="20.25" customHeight="1">
      <c r="A25" s="71"/>
      <c r="B25" s="59" t="str">
        <f>IF(Data_Centre_Rating_Type="Infrastructure","","Total Assessable Storage TB (TB)")</f>
        <v>Total Assessable Storage TB (TB)</v>
      </c>
      <c r="C25" s="9"/>
      <c r="D25" s="9"/>
      <c r="E25" s="9"/>
      <c r="F25" s="9"/>
      <c r="G25" s="349"/>
      <c r="H25" s="10"/>
      <c r="I25" s="172"/>
    </row>
    <row r="26" spans="1:10" s="8" customFormat="1" ht="20.25" customHeight="1">
      <c r="A26" s="71"/>
      <c r="B26" s="350" t="str">
        <f>IF(Data_Centre_Rating_Type="IT Equipment","Days in IT Equipment Rating Period (Enter between 28 - 40)","")</f>
        <v/>
      </c>
      <c r="C26" s="9"/>
      <c r="D26" s="9"/>
      <c r="E26" s="9"/>
      <c r="F26" s="9"/>
      <c r="G26" s="349"/>
      <c r="H26" s="10"/>
      <c r="I26" s="75"/>
      <c r="J26" s="8" t="str">
        <f>IF(AND(Data_Centre_Rating_Type="IT Equipment",OR(Data_Centre_Rating_Period="",NOT(AND(Data_Centre_Rating_Period&gt;=28,Data_Centre_Rating_Period&lt;=40)))),"ERROR: Rating Period for IT Equipment must be between 28-40 days","")</f>
        <v/>
      </c>
    </row>
    <row r="27" spans="1:10" s="8" customFormat="1" ht="20.25" customHeight="1">
      <c r="A27" s="71"/>
      <c r="B27" s="350" t="str">
        <f>IF(Data_Centre_Rating_Type="IT Equipment","","% Metered Heat Rejection (for Infrastructure and Whole Facility ratings)")</f>
        <v>% Metered Heat Rejection (for Infrastructure and Whole Facility ratings)</v>
      </c>
      <c r="C27" s="9"/>
      <c r="D27" s="9"/>
      <c r="E27" s="9"/>
      <c r="F27" s="9"/>
      <c r="G27" s="349"/>
      <c r="H27" s="10"/>
      <c r="I27" s="84"/>
    </row>
    <row r="28" spans="1:10" s="8" customFormat="1" ht="20.25" customHeight="1">
      <c r="A28" s="71"/>
      <c r="B28" s="72" t="str">
        <f>IF(Data_Centre_Rating_Type="Infrastructure","Assessable IT Energy (kWh/year) for Infrastructure rating","")</f>
        <v/>
      </c>
      <c r="C28" s="63"/>
      <c r="D28" s="63"/>
      <c r="E28" s="63"/>
      <c r="F28" s="63"/>
      <c r="G28" s="64"/>
      <c r="H28" s="10"/>
      <c r="I28" s="172"/>
    </row>
    <row r="29" spans="1:10" s="8" customFormat="1" ht="12.75" customHeight="1">
      <c r="A29" s="71"/>
      <c r="B29" s="11"/>
      <c r="C29" s="9"/>
      <c r="D29" s="9"/>
      <c r="E29" s="9"/>
      <c r="F29" s="9"/>
      <c r="G29" s="9"/>
      <c r="H29" s="10"/>
      <c r="I29" s="327"/>
    </row>
    <row r="30" spans="1:10" s="8" customFormat="1" ht="20.25" customHeight="1">
      <c r="A30" s="71"/>
      <c r="B30" s="663" t="s">
        <v>27</v>
      </c>
      <c r="C30" s="666"/>
      <c r="D30" s="666"/>
      <c r="E30" s="666"/>
      <c r="F30" s="666"/>
      <c r="G30" s="667" t="s">
        <v>28</v>
      </c>
      <c r="H30" s="12"/>
      <c r="I30" s="84"/>
    </row>
    <row r="31" spans="1:10" s="8" customFormat="1" ht="20.25" customHeight="1">
      <c r="A31" s="71"/>
      <c r="B31" s="171" t="str">
        <f>IF(AND(Data_Centre_Rating_Type="IT Equipment",SUM(Data_Centre_Diesel_Percent)&gt;0),"ERROR: Electricity use is 100% for IT Equipment rating",
IF(SUM(Data_Centre_Elec_Percent,Data_Centre_Diesel_Percent)=1,"",
"ERROR: Percentage breakdown must total 100%"))</f>
        <v>ERROR: Percentage breakdown must total 100%</v>
      </c>
      <c r="C31" s="63"/>
      <c r="D31" s="63"/>
      <c r="E31" s="63"/>
      <c r="F31" s="63"/>
      <c r="G31" s="64" t="s">
        <v>30</v>
      </c>
      <c r="H31" s="17"/>
      <c r="I31" s="84"/>
    </row>
    <row r="32" spans="1:10" ht="13.9" thickBot="1">
      <c r="B32" s="328"/>
      <c r="C32" s="329"/>
      <c r="D32" s="329"/>
      <c r="E32" s="329"/>
      <c r="F32" s="329"/>
      <c r="G32" s="329"/>
      <c r="H32" s="329"/>
      <c r="I32" s="330"/>
    </row>
    <row r="33" spans="2:10" ht="18.600000000000001" thickTop="1" thickBot="1">
      <c r="B33" s="92" t="s">
        <v>31</v>
      </c>
      <c r="C33" s="87"/>
      <c r="D33" s="87"/>
      <c r="E33" s="87"/>
      <c r="F33" s="87"/>
      <c r="G33" s="87"/>
      <c r="H33" s="87"/>
      <c r="I33" s="91"/>
    </row>
    <row r="34" spans="2:10" ht="13.9" thickTop="1">
      <c r="G34" s="15"/>
      <c r="H34" s="15"/>
      <c r="J34" s="69"/>
    </row>
    <row r="35" spans="2:10" ht="18" customHeight="1">
      <c r="C35" s="16" t="s">
        <v>658</v>
      </c>
      <c r="D35" s="16"/>
      <c r="G35" s="65" t="e">
        <f>INDEX(tbl_Data_Centres_Multi[],1,MATCH($J35,tbl_Data_Centres_Multi[#Headers],0))</f>
        <v>#N/A</v>
      </c>
      <c r="H35" s="15"/>
      <c r="I35" s="334" t="s">
        <v>33</v>
      </c>
      <c r="J35" s="95" t="s">
        <v>474</v>
      </c>
    </row>
    <row r="36" spans="2:10" ht="18" customHeight="1">
      <c r="C36" s="16"/>
      <c r="D36" s="16"/>
      <c r="G36" s="15"/>
      <c r="H36" s="15"/>
      <c r="J36" s="96"/>
    </row>
    <row r="37" spans="2:10" ht="18" customHeight="1">
      <c r="C37" s="16" t="str">
        <f>CONCATENATE("Maximum Benchmarking Emissions at ",Data_Centre_Target_Energy, " Star NABERS Energy")</f>
        <v>Maximum Benchmarking Emissions at  Star NABERS Energy</v>
      </c>
      <c r="G37" s="65" t="e">
        <f>INDEX(tbl_Data_Centres_Multi[],1,MATCH($J37,tbl_Data_Centres_Multi[#Headers],0))</f>
        <v>#N/A</v>
      </c>
      <c r="I37" s="334" t="s">
        <v>33</v>
      </c>
      <c r="J37" s="95" t="s">
        <v>35</v>
      </c>
    </row>
    <row r="38" spans="2:10" ht="18" customHeight="1">
      <c r="G38" s="65" t="str">
        <f>IF(Data_Centre_Rating_Type="IT Equipment",INDEX(tbl_Data_Centres_Multi[],1,MATCH($J38,tbl_Data_Centres_Multi[#Headers],0)),"")</f>
        <v/>
      </c>
      <c r="I38" s="334" t="str">
        <f>IF(Data_Centre_Rating_Type="IT Equipment","kgCO2-e/day","")</f>
        <v/>
      </c>
      <c r="J38" s="95" t="s">
        <v>659</v>
      </c>
    </row>
    <row r="39" spans="2:10" ht="18" customHeight="1">
      <c r="C39" s="483" t="str">
        <f>IF(Data_Centre_Rating_Type="IT Equipment","",CONCATENATE("Estimated Power Usage Effectiveness at ",Data_Centre_Target_Energy, " Star NABERS Energy"))</f>
        <v>Estimated Power Usage Effectiveness at  Star NABERS Energy</v>
      </c>
      <c r="G39" s="482">
        <f>IF(Data_Centre_Rating_Type="IT Equipment","",INDEX(tbl_Data_Centres_Multi[],1,MATCH($J39,tbl_Data_Centres_Multi[#Headers],0)))</f>
        <v>0</v>
      </c>
      <c r="I39" s="334"/>
      <c r="J39" s="95" t="s">
        <v>660</v>
      </c>
    </row>
    <row r="40" spans="2:10" ht="18" customHeight="1">
      <c r="G40" s="65"/>
      <c r="I40" s="334"/>
      <c r="J40" s="95"/>
    </row>
    <row r="41" spans="2:10" ht="18" customHeight="1">
      <c r="J41" s="95"/>
    </row>
    <row r="42" spans="2:10" ht="18" customHeight="1">
      <c r="C42" s="29" t="s">
        <v>36</v>
      </c>
      <c r="D42" s="68"/>
      <c r="E42" s="8"/>
      <c r="F42" s="8"/>
      <c r="G42" s="65" t="e">
        <f>INDEX(tbl_Data_Centres_Multi[],1,MATCH($J42,tbl_Data_Centres_Multi[#Headers],0))</f>
        <v>#N/A</v>
      </c>
      <c r="H42" s="15"/>
      <c r="I42" s="334" t="s">
        <v>33</v>
      </c>
      <c r="J42" s="95" t="s">
        <v>37</v>
      </c>
    </row>
    <row r="43" spans="2:10" ht="18" customHeight="1">
      <c r="C43" s="16"/>
      <c r="G43" s="15"/>
      <c r="H43" s="15"/>
      <c r="J43" s="95"/>
    </row>
    <row r="44" spans="2:10" ht="18" customHeight="1">
      <c r="C44" s="29" t="s">
        <v>38</v>
      </c>
      <c r="D44" s="68"/>
      <c r="E44" s="8"/>
      <c r="F44" s="8"/>
      <c r="G44" s="65" t="e">
        <f>INDEX(tbl_Data_Centres_Multi[],1,MATCH($J44,tbl_Data_Centres_Multi[#Headers],0))</f>
        <v>#N/A</v>
      </c>
      <c r="H44" s="15"/>
      <c r="I44" s="334" t="s">
        <v>33</v>
      </c>
      <c r="J44" s="95" t="s">
        <v>39</v>
      </c>
    </row>
    <row r="45" spans="2:10" ht="18" customHeight="1">
      <c r="J45" s="95"/>
    </row>
    <row r="46" spans="2:10" ht="18" customHeight="1">
      <c r="J46" s="95"/>
    </row>
    <row r="47" spans="2:10" ht="18" customHeight="1">
      <c r="C47" s="76" t="s">
        <v>44</v>
      </c>
      <c r="D47" s="312"/>
      <c r="E47" s="8"/>
      <c r="F47" s="67"/>
      <c r="G47" s="65"/>
      <c r="H47" s="335"/>
      <c r="I47" s="335"/>
      <c r="J47" s="96"/>
    </row>
    <row r="48" spans="2:10" ht="16.899999999999999">
      <c r="C48" s="66"/>
      <c r="D48" s="66"/>
      <c r="E48" s="8"/>
      <c r="F48" s="67" t="str">
        <f>IF(Data_Centre_Rating_Type="IT Equipment","","Target Max Electricity")</f>
        <v>Target Max Electricity</v>
      </c>
      <c r="G48" s="65" t="e">
        <f>IF(Data_Centre_Rating_Type="IT Equipment","",INDEX(tbl_Data_Centres_Multi[],1,MATCH($J48,tbl_Data_Centres_Multi[#Headers],0)))</f>
        <v>#N/A</v>
      </c>
      <c r="H48" s="335"/>
      <c r="I48" s="335" t="str">
        <f>IF(Data_Centre_Rating_Type="IT Equipment","","kWh per annum")</f>
        <v>kWh per annum</v>
      </c>
      <c r="J48" s="95" t="s">
        <v>47</v>
      </c>
    </row>
    <row r="49" spans="2:16" s="8" customFormat="1" ht="16.899999999999999">
      <c r="C49" s="66"/>
      <c r="D49" s="66"/>
      <c r="E49" s="1"/>
      <c r="F49" s="67" t="str">
        <f>IF(Data_Centre_Rating_Type="IT Equipment","","Target Max Diesel")</f>
        <v>Target Max Diesel</v>
      </c>
      <c r="G49" s="65" t="e">
        <f>IF(Data_Centre_Rating_Type="IT Equipment","",INDEX(tbl_Data_Centres_Multi[],1,MATCH($J49,tbl_Data_Centres_Multi[#Headers],0)))</f>
        <v>#N/A</v>
      </c>
      <c r="H49" s="335"/>
      <c r="I49" s="335" t="str">
        <f>IF(Data_Centre_Rating_Type="IT Equipment","","L per annum")</f>
        <v>L per annum</v>
      </c>
      <c r="J49" s="97" t="s">
        <v>53</v>
      </c>
    </row>
    <row r="50" spans="2:16" s="8" customFormat="1" ht="16.899999999999999">
      <c r="C50" s="66"/>
      <c r="D50" s="66"/>
      <c r="E50" s="1"/>
      <c r="F50" s="67"/>
      <c r="G50" s="65"/>
      <c r="H50" s="335"/>
      <c r="I50" s="335"/>
      <c r="J50" s="97"/>
      <c r="P50" s="359"/>
    </row>
    <row r="51" spans="2:16" s="8" customFormat="1" ht="16.899999999999999">
      <c r="C51" s="66"/>
      <c r="D51" s="66"/>
      <c r="F51" s="67" t="str">
        <f>IF(Data_Centre_Rating_Type="IT Equipment","Target Max IT Equipment Electricity","")</f>
        <v/>
      </c>
      <c r="G51" s="65" t="str">
        <f>IF(Data_Centre_Rating_Type="IT Equipment",INDEX(tbl_Data_Centres_Multi[],1,MATCH($J51,tbl_Data_Centres_Multi[#Headers],0)),"")</f>
        <v/>
      </c>
      <c r="H51" s="335"/>
      <c r="I51" s="335" t="str">
        <f>IF(Data_Centre_Rating_Type="IT Equipment","kWh per "&amp;Data_Centre_Rating_Period&amp;" days","")</f>
        <v/>
      </c>
      <c r="J51" s="95" t="s">
        <v>661</v>
      </c>
    </row>
    <row r="52" spans="2:16" s="8" customFormat="1" ht="16.899999999999999">
      <c r="C52" s="66"/>
      <c r="D52" s="66"/>
      <c r="E52" s="1"/>
      <c r="F52" s="67" t="str">
        <f>IF(Data_Centre_Rating_Type="IT Equipment","Target Max Daily IT Equipment Electricity","")</f>
        <v/>
      </c>
      <c r="G52" s="65" t="str">
        <f>IF(Data_Centre_Rating_Type="IT Equipment",INDEX(tbl_Data_Centres_Multi[],1,MATCH($J52,tbl_Data_Centres_Multi[#Headers],0)),"")</f>
        <v/>
      </c>
      <c r="H52" s="335"/>
      <c r="I52" s="335" t="str">
        <f>IF(Data_Centre_Rating_Type="IT Equipment","kWh per day","")</f>
        <v/>
      </c>
      <c r="J52" s="95" t="s">
        <v>662</v>
      </c>
    </row>
    <row r="53" spans="2:16" ht="13.9" thickBot="1"/>
    <row r="54" spans="2:16" ht="18.600000000000001" thickTop="1" thickBot="1">
      <c r="B54" s="92" t="s">
        <v>58</v>
      </c>
      <c r="C54" s="87"/>
      <c r="D54" s="87"/>
      <c r="E54" s="87"/>
      <c r="F54" s="87"/>
      <c r="G54" s="87"/>
      <c r="H54" s="87"/>
      <c r="I54" s="91"/>
    </row>
    <row r="55" spans="2:16" ht="13.9" thickTop="1"/>
    <row r="56" spans="2:16">
      <c r="B56" s="668" t="s">
        <v>59</v>
      </c>
      <c r="C56" s="669"/>
      <c r="D56" s="669"/>
      <c r="E56" s="669"/>
      <c r="F56" s="670" t="s">
        <v>60</v>
      </c>
      <c r="G56" s="356"/>
    </row>
    <row r="57" spans="2:16">
      <c r="B57" s="100"/>
      <c r="C57" s="20"/>
      <c r="D57" s="20"/>
      <c r="E57" s="20"/>
      <c r="F57" s="21" t="s">
        <v>62</v>
      </c>
      <c r="G57" s="356"/>
    </row>
    <row r="58" spans="2:16">
      <c r="B58" s="18"/>
      <c r="C58" s="99"/>
      <c r="D58" s="99"/>
      <c r="E58" s="99"/>
      <c r="F58" s="21" t="s">
        <v>63</v>
      </c>
      <c r="G58" s="357"/>
    </row>
    <row r="59" spans="2:16">
      <c r="B59" s="111" t="s">
        <v>64</v>
      </c>
      <c r="C59" s="103"/>
      <c r="D59" s="103"/>
      <c r="E59" s="103"/>
      <c r="F59" s="104" t="s">
        <v>663</v>
      </c>
      <c r="G59" s="170" t="e">
        <f>INDEX(tbl_Data_Centres_Multi[],1,MATCH($J59,tbl_Data_Centres_Multi[#Headers],0))</f>
        <v>#N/A</v>
      </c>
      <c r="J59" s="95" t="s">
        <v>664</v>
      </c>
    </row>
    <row r="60" spans="2:16">
      <c r="B60" s="114"/>
      <c r="C60" s="106"/>
      <c r="D60" s="106"/>
      <c r="E60" s="106"/>
      <c r="F60" s="107" t="s">
        <v>67</v>
      </c>
      <c r="G60" s="141" t="e">
        <f>INDEX(tbl_Data_Centres_Multi[],1,MATCH($J60,tbl_Data_Centres_Multi[#Headers],0))</f>
        <v>#N/A</v>
      </c>
      <c r="J60" s="95" t="s">
        <v>68</v>
      </c>
    </row>
    <row r="61" spans="2:16">
      <c r="B61" s="105"/>
      <c r="C61" s="106"/>
      <c r="D61" s="106"/>
      <c r="E61" s="106"/>
      <c r="F61" s="107" t="s">
        <v>69</v>
      </c>
      <c r="G61" s="141" t="e">
        <f>INDEX(tbl_Data_Centres_Multi[],1,MATCH($J61,tbl_Data_Centres_Multi[#Headers],0))</f>
        <v>#N/A</v>
      </c>
      <c r="H61" s="17"/>
      <c r="J61" s="95" t="s">
        <v>70</v>
      </c>
    </row>
    <row r="62" spans="2:16">
      <c r="B62" s="114"/>
      <c r="C62" s="106"/>
      <c r="D62" s="106"/>
      <c r="E62" s="106"/>
      <c r="F62" s="107" t="s">
        <v>665</v>
      </c>
      <c r="G62" s="170" t="e">
        <f>INDEX(tbl_Data_Centres_Multi[],1,MATCH($J62,tbl_Data_Centres_Multi[#Headers],0))</f>
        <v>#N/A</v>
      </c>
      <c r="H62" s="17"/>
      <c r="J62" s="95" t="s">
        <v>666</v>
      </c>
    </row>
    <row r="63" spans="2:16">
      <c r="B63" s="105"/>
      <c r="C63" s="106"/>
      <c r="D63" s="106"/>
      <c r="E63" s="106"/>
      <c r="F63" s="107" t="s">
        <v>73</v>
      </c>
      <c r="G63" s="141" t="e">
        <f>INDEX(tbl_Data_Centres_Multi[],1,MATCH($J63,tbl_Data_Centres_Multi[#Headers],0))</f>
        <v>#N/A</v>
      </c>
      <c r="H63" s="17"/>
      <c r="J63" s="95" t="s">
        <v>74</v>
      </c>
    </row>
    <row r="64" spans="2:16">
      <c r="B64" s="108"/>
      <c r="C64" s="109"/>
      <c r="D64" s="109"/>
      <c r="E64" s="109"/>
      <c r="F64" s="110" t="s">
        <v>75</v>
      </c>
      <c r="G64" s="141" t="e">
        <f>INDEX(tbl_Data_Centres_Multi[],1,MATCH($J64,tbl_Data_Centres_Multi[#Headers],0))</f>
        <v>#N/A</v>
      </c>
      <c r="H64" s="17"/>
      <c r="J64" s="95" t="s">
        <v>76</v>
      </c>
    </row>
    <row r="65" spans="2:8">
      <c r="B65" s="13"/>
      <c r="C65" s="13"/>
      <c r="D65" s="13"/>
      <c r="E65" s="13"/>
      <c r="F65" s="13"/>
      <c r="G65" s="65"/>
      <c r="H65" s="17"/>
    </row>
  </sheetData>
  <sheetProtection algorithmName="SHA-512" hashValue="Phxgoyh3PXf0V3BWLWdNTujDRtOftgQYdl2oO0DIOVZBuzS1mH62orG2gsS680LhlXaeGri0Uu5T0P8kCd1gOA==" saltValue="ZF9rjY4kucFCJIAHJ/IyCQ==" spinCount="100000" sheet="1" objects="1" scenarios="1"/>
  <dataConsolidate/>
  <mergeCells count="3">
    <mergeCell ref="G3:I3"/>
    <mergeCell ref="B4:I4"/>
    <mergeCell ref="B7:I7"/>
  </mergeCells>
  <conditionalFormatting sqref="G56:G58">
    <cfRule type="expression" dxfId="1721" priority="10" stopIfTrue="1">
      <formula>($B$21="ERROR: Percentage breakdown must total 100%")</formula>
    </cfRule>
  </conditionalFormatting>
  <conditionalFormatting sqref="I23:I28">
    <cfRule type="expression" dxfId="1720" priority="2">
      <formula>$B23=""</formula>
    </cfRule>
  </conditionalFormatting>
  <conditionalFormatting sqref="I26">
    <cfRule type="expression" dxfId="1719" priority="1">
      <formula>AND(Data_Centre_Rating_Type="IT Equipment",OR(Data_Centre_Rating_Period="",NOT(AND(Data_Centre_Rating_Period&gt;=28,Data_Centre_Rating_Period&lt;=40))))</formula>
    </cfRule>
  </conditionalFormatting>
  <conditionalFormatting sqref="I30:I31">
    <cfRule type="expression" dxfId="1718" priority="48">
      <formula>NOT(SUM($I$30:$I$31)=1)</formula>
    </cfRule>
  </conditionalFormatting>
  <dataValidations count="2">
    <dataValidation type="decimal" allowBlank="1" showInputMessage="1" showErrorMessage="1" sqref="I20 WFO16:WFO17 VVS16:VVS17 VLW16:VLW17 VCA16:VCA17 USE16:USE17 UII16:UII17 TYM16:TYM17 TOQ16:TOQ17 TEU16:TEU17 SUY16:SUY17 SLC16:SLC17 SBG16:SBG17 RRK16:RRK17 RHO16:RHO17 QXS16:QXS17 QNW16:QNW17 QEA16:QEA17 PUE16:PUE17 PKI16:PKI17 PAM16:PAM17 OQQ16:OQQ17 OGU16:OGU17 NWY16:NWY17 NNC16:NNC17 NDG16:NDG17 MTK16:MTK17 MJO16:MJO17 LZS16:LZS17 LPW16:LPW17 LGA16:LGA17 KWE16:KWE17 KMI16:KMI17 KCM16:KCM17 JSQ16:JSQ17 JIU16:JIU17 IYY16:IYY17 IPC16:IPC17 IFG16:IFG17 HVK16:HVK17 HLO16:HLO17 HBS16:HBS17 GRW16:GRW17 GIA16:GIA17 FYE16:FYE17 FOI16:FOI17 FEM16:FEM17 EUQ16:EUQ17 EKU16:EKU17 EAY16:EAY17 DRC16:DRC17 DHG16:DHG17 CXK16:CXK17 CNO16:CNO17 CDS16:CDS17 BTW16:BTW17 BKA16:BKA17 BAE16:BAE17 AQI16:AQI17 AGM16:AGM17 WQ16:WQ17 MU16:MU17 CY16:CY17 WPK16:WPK17 E16:E19 E13" xr:uid="{66C3A6DE-B872-4BA4-BF5B-F28E1DEDD8B2}">
      <formula1>0</formula1>
      <formula2>6</formula2>
    </dataValidation>
    <dataValidation type="list" allowBlank="1" showInputMessage="1" showErrorMessage="1" sqref="E12" xr:uid="{B1FB3454-07DB-4942-AA0B-26AABE2DA448}">
      <formula1>List_Data_Centre_Rating_Type</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B8BC-860D-4569-B6DD-4411921210E2}">
  <sheetPr codeName="Sheet15"/>
  <dimension ref="A1:EM6"/>
  <sheetViews>
    <sheetView zoomScale="70" zoomScaleNormal="70" workbookViewId="0">
      <pane ySplit="3" topLeftCell="A4" activePane="bottomLeft" state="frozen"/>
      <selection pane="bottomLeft" activeCell="U1" sqref="U1"/>
      <selection activeCell="G39" sqref="G39"/>
    </sheetView>
  </sheetViews>
  <sheetFormatPr defaultColWidth="9.28515625" defaultRowHeight="16.5" customHeight="1"/>
  <cols>
    <col min="1" max="1" width="19.28515625" style="36" customWidth="1"/>
    <col min="2" max="2" width="14.28515625" style="49" customWidth="1"/>
    <col min="3" max="3" width="10.7109375" style="49" customWidth="1"/>
    <col min="4" max="4" width="12.85546875" style="49" bestFit="1" customWidth="1"/>
    <col min="5" max="5" width="11.85546875" style="49" bestFit="1" customWidth="1"/>
    <col min="6" max="7" width="9.28515625" style="49"/>
    <col min="8" max="8" width="16" style="49" bestFit="1" customWidth="1"/>
    <col min="9" max="9" width="12.28515625" style="49" customWidth="1"/>
    <col min="10" max="10" width="12.28515625" style="36" customWidth="1"/>
    <col min="11" max="12" width="15.7109375" style="36" customWidth="1"/>
    <col min="13" max="13" width="15.7109375" style="49" customWidth="1"/>
    <col min="14" max="17" width="15.7109375" style="36" customWidth="1"/>
    <col min="18" max="20" width="12.28515625" style="36" customWidth="1"/>
    <col min="23" max="32" width="9.28515625" style="49"/>
    <col min="33" max="33" width="14.7109375" style="36" customWidth="1"/>
    <col min="34" max="34" width="12.5703125" style="36" bestFit="1" customWidth="1"/>
    <col min="35" max="36" width="12.5703125" style="36" customWidth="1"/>
    <col min="37" max="40" width="9.28515625" style="49"/>
    <col min="41" max="49" width="12.85546875" style="36" customWidth="1"/>
    <col min="50" max="51" width="12.7109375" style="36" customWidth="1"/>
    <col min="52" max="52" width="12.7109375" style="49" customWidth="1"/>
    <col min="53" max="63" width="12.7109375" style="36" customWidth="1"/>
    <col min="64" max="66" width="12.7109375" style="49" customWidth="1"/>
    <col min="67" max="77" width="12.7109375" style="36" customWidth="1"/>
    <col min="78" max="85" width="12.7109375" style="49" customWidth="1"/>
    <col min="86" max="91" width="12.7109375" style="36" customWidth="1"/>
    <col min="92" max="92" width="12.7109375" style="49" customWidth="1"/>
    <col min="93" max="105" width="12.7109375" style="36" customWidth="1"/>
    <col min="106" max="109" width="12.7109375" style="49" customWidth="1"/>
    <col min="110" max="121" width="12.7109375" style="36" customWidth="1"/>
    <col min="122" max="123" width="12.7109375" style="49" customWidth="1"/>
    <col min="124" max="133" width="12.7109375" style="36" customWidth="1"/>
    <col min="134" max="135" width="9.28515625" style="49"/>
    <col min="136" max="137" width="9.28515625" style="36" bestFit="1" customWidth="1"/>
    <col min="138" max="141" width="10.28515625" style="36" bestFit="1" customWidth="1"/>
    <col min="142" max="143" width="10.7109375" style="36" bestFit="1" customWidth="1"/>
    <col min="144" max="145" width="10.28515625" style="36" bestFit="1" customWidth="1"/>
    <col min="146" max="146" width="11.28515625" style="36" bestFit="1" customWidth="1"/>
    <col min="147" max="147" width="11.28515625" style="36" customWidth="1"/>
    <col min="148" max="149" width="11.28515625" style="36" bestFit="1" customWidth="1"/>
    <col min="150" max="150" width="10.28515625" style="36" bestFit="1" customWidth="1"/>
    <col min="151" max="151" width="11.28515625" style="36" bestFit="1" customWidth="1"/>
    <col min="152" max="157" width="10.85546875" style="36" bestFit="1" customWidth="1"/>
    <col min="158" max="179" width="9.28515625" style="36" bestFit="1" customWidth="1"/>
    <col min="180" max="180" width="9.28515625" style="36" customWidth="1"/>
    <col min="181" max="181" width="10.85546875" style="36" customWidth="1"/>
    <col min="182" max="183" width="12.28515625" style="36" customWidth="1"/>
    <col min="184" max="184" width="12.7109375" style="36" customWidth="1"/>
    <col min="185" max="16384" width="9.28515625" style="36"/>
  </cols>
  <sheetData>
    <row r="1" spans="1:143" ht="16.5" customHeight="1">
      <c r="B1" s="94"/>
      <c r="C1" s="671" t="s">
        <v>667</v>
      </c>
      <c r="D1" s="94"/>
      <c r="E1" s="94"/>
      <c r="F1" s="94"/>
      <c r="G1" s="94"/>
      <c r="H1" s="94"/>
      <c r="I1" s="672" t="s">
        <v>96</v>
      </c>
      <c r="J1" s="94"/>
      <c r="M1" s="36"/>
      <c r="R1" s="121" t="s">
        <v>492</v>
      </c>
      <c r="S1" s="123"/>
      <c r="T1" s="125"/>
      <c r="U1" s="208" t="s">
        <v>668</v>
      </c>
      <c r="V1" s="174"/>
      <c r="W1" s="174"/>
      <c r="X1" s="292"/>
      <c r="Y1" s="290" t="s">
        <v>669</v>
      </c>
      <c r="Z1" s="174"/>
      <c r="AA1" s="292"/>
      <c r="AB1" s="207" t="s">
        <v>103</v>
      </c>
      <c r="AC1" s="251"/>
      <c r="AD1" s="251"/>
      <c r="AE1" s="251"/>
      <c r="AF1" s="198"/>
      <c r="AG1" s="36" t="s">
        <v>104</v>
      </c>
      <c r="AK1" s="36"/>
      <c r="AL1" s="36"/>
      <c r="AM1" s="290" t="s">
        <v>105</v>
      </c>
      <c r="AN1" s="174"/>
      <c r="AO1" s="174"/>
      <c r="AP1" s="174"/>
      <c r="AQ1" s="174"/>
      <c r="AR1" s="174"/>
      <c r="AS1" s="174"/>
      <c r="AT1" s="208"/>
      <c r="AU1" s="292"/>
      <c r="AV1" s="290" t="s">
        <v>494</v>
      </c>
      <c r="AW1" s="174"/>
      <c r="AX1" s="174"/>
      <c r="AY1" s="174"/>
      <c r="AZ1" s="174"/>
      <c r="BA1" s="174"/>
      <c r="BB1" s="174"/>
      <c r="BC1" s="174"/>
      <c r="BD1" s="174"/>
      <c r="BE1" s="174"/>
      <c r="BF1" s="174"/>
      <c r="BG1" s="292"/>
      <c r="BH1" s="197"/>
      <c r="BI1" s="251"/>
      <c r="BJ1" s="251"/>
      <c r="BK1" s="251"/>
      <c r="BL1" s="251"/>
      <c r="BM1" s="251"/>
      <c r="BN1" s="251"/>
      <c r="BO1" s="251"/>
      <c r="BP1" s="251"/>
      <c r="BQ1" s="251"/>
      <c r="BR1" s="251"/>
      <c r="BS1" s="251"/>
      <c r="BT1" s="197"/>
      <c r="BU1" s="251"/>
      <c r="BV1" s="251"/>
      <c r="BW1" s="251"/>
      <c r="BX1" s="251"/>
      <c r="BY1" s="251"/>
      <c r="BZ1" s="251"/>
      <c r="CA1" s="251"/>
      <c r="CB1" s="251"/>
      <c r="CC1" s="251"/>
      <c r="CD1" s="251"/>
      <c r="CE1" s="251"/>
      <c r="CF1" s="197"/>
      <c r="CG1" s="251"/>
      <c r="CH1" s="251"/>
      <c r="CI1" s="251"/>
      <c r="CJ1" s="251"/>
      <c r="CK1" s="251"/>
      <c r="CL1" s="251"/>
      <c r="CM1" s="251"/>
      <c r="CN1" s="251"/>
      <c r="CO1" s="251"/>
      <c r="CP1" s="251"/>
      <c r="CQ1" s="251"/>
      <c r="CR1" s="197"/>
      <c r="CS1" s="251"/>
      <c r="CT1" s="251"/>
      <c r="CU1" s="251"/>
      <c r="CV1" s="251"/>
      <c r="CW1" s="251"/>
      <c r="CX1" s="251"/>
      <c r="CY1" s="251"/>
      <c r="CZ1" s="251"/>
      <c r="DA1" s="251"/>
      <c r="DB1" s="251"/>
      <c r="DC1" s="251"/>
      <c r="DD1" s="197"/>
      <c r="DE1" s="251"/>
      <c r="DF1" s="251"/>
      <c r="DG1" s="251"/>
      <c r="DH1" s="251"/>
      <c r="DI1" s="251"/>
      <c r="DJ1" s="251"/>
      <c r="DK1" s="251"/>
      <c r="DL1" s="251"/>
      <c r="DM1" s="251"/>
      <c r="DN1" s="251"/>
      <c r="DO1" s="251"/>
      <c r="DP1" s="197"/>
      <c r="DQ1" s="251"/>
      <c r="DR1" s="251"/>
      <c r="DS1" s="251"/>
      <c r="DT1" s="251"/>
      <c r="DU1" s="251"/>
      <c r="DV1" s="251"/>
      <c r="DW1" s="251"/>
      <c r="DX1" s="251"/>
      <c r="DY1" s="251"/>
      <c r="DZ1" s="251"/>
      <c r="EA1" s="251"/>
      <c r="EB1" s="310"/>
      <c r="EC1" s="311"/>
      <c r="ED1" s="119" t="s">
        <v>670</v>
      </c>
      <c r="EE1" s="119"/>
      <c r="EF1" s="119"/>
      <c r="EG1" s="119"/>
      <c r="EH1" s="119"/>
      <c r="EI1" s="117"/>
      <c r="EJ1" s="117"/>
      <c r="EK1" s="117"/>
      <c r="EL1" s="117"/>
      <c r="EM1" s="116"/>
    </row>
    <row r="2" spans="1:143" ht="80.45" customHeight="1">
      <c r="B2" s="555" t="s">
        <v>113</v>
      </c>
      <c r="C2" s="556" t="s">
        <v>25</v>
      </c>
      <c r="D2" s="557" t="s">
        <v>671</v>
      </c>
      <c r="E2" s="556" t="s">
        <v>672</v>
      </c>
      <c r="F2" s="556" t="s">
        <v>673</v>
      </c>
      <c r="G2" s="556" t="s">
        <v>674</v>
      </c>
      <c r="H2" s="556" t="s">
        <v>675</v>
      </c>
      <c r="I2" s="253" t="s">
        <v>116</v>
      </c>
      <c r="J2" s="556" t="s">
        <v>118</v>
      </c>
      <c r="M2" s="36"/>
      <c r="R2" s="618" t="s">
        <v>60</v>
      </c>
      <c r="S2" s="619" t="s">
        <v>62</v>
      </c>
      <c r="T2" s="620" t="s">
        <v>119</v>
      </c>
      <c r="U2" s="237" t="s">
        <v>122</v>
      </c>
      <c r="V2" s="237" t="s">
        <v>123</v>
      </c>
      <c r="W2" s="237" t="s">
        <v>124</v>
      </c>
      <c r="X2" s="238" t="s">
        <v>125</v>
      </c>
      <c r="Y2" s="257" t="s">
        <v>126</v>
      </c>
      <c r="Z2" s="239" t="s">
        <v>127</v>
      </c>
      <c r="AA2" s="240" t="s">
        <v>128</v>
      </c>
      <c r="AB2" s="257" t="s">
        <v>129</v>
      </c>
      <c r="AC2" s="239" t="s">
        <v>130</v>
      </c>
      <c r="AD2" s="239" t="s">
        <v>131</v>
      </c>
      <c r="AE2" s="239" t="s">
        <v>132</v>
      </c>
      <c r="AF2" s="240" t="s">
        <v>133</v>
      </c>
      <c r="AG2" s="239" t="s">
        <v>134</v>
      </c>
      <c r="AH2" s="239" t="s">
        <v>135</v>
      </c>
      <c r="AI2" s="239" t="s">
        <v>136</v>
      </c>
      <c r="AJ2" s="239" t="s">
        <v>137</v>
      </c>
      <c r="AK2" s="239" t="s">
        <v>138</v>
      </c>
      <c r="AL2" s="239" t="s">
        <v>139</v>
      </c>
      <c r="AM2" s="219" t="s">
        <v>676</v>
      </c>
      <c r="AN2" s="220" t="s">
        <v>677</v>
      </c>
      <c r="AO2" s="220" t="s">
        <v>678</v>
      </c>
      <c r="AP2" s="220" t="s">
        <v>679</v>
      </c>
      <c r="AQ2" s="220" t="s">
        <v>680</v>
      </c>
      <c r="AR2" s="220" t="s">
        <v>681</v>
      </c>
      <c r="AS2" s="220" t="s">
        <v>682</v>
      </c>
      <c r="AT2" s="220" t="s">
        <v>683</v>
      </c>
      <c r="AU2" s="220" t="s">
        <v>684</v>
      </c>
      <c r="AV2" s="241"/>
      <c r="AW2" s="242"/>
      <c r="AX2" s="242"/>
      <c r="AY2" s="242"/>
      <c r="AZ2" s="242"/>
      <c r="BA2" s="242"/>
      <c r="BB2" s="242"/>
      <c r="BC2" s="242"/>
      <c r="BD2" s="242"/>
      <c r="BE2" s="242"/>
      <c r="BF2" s="242"/>
      <c r="BG2" s="243"/>
      <c r="BH2" s="219" t="s">
        <v>685</v>
      </c>
      <c r="BI2" s="220" t="s">
        <v>686</v>
      </c>
      <c r="BJ2" s="220" t="s">
        <v>687</v>
      </c>
      <c r="BK2" s="220" t="s">
        <v>688</v>
      </c>
      <c r="BL2" s="220" t="s">
        <v>689</v>
      </c>
      <c r="BM2" s="220" t="s">
        <v>690</v>
      </c>
      <c r="BN2" s="220" t="s">
        <v>691</v>
      </c>
      <c r="BO2" s="220" t="s">
        <v>692</v>
      </c>
      <c r="BP2" s="220" t="s">
        <v>693</v>
      </c>
      <c r="BQ2" s="220" t="s">
        <v>694</v>
      </c>
      <c r="BR2" s="220" t="s">
        <v>695</v>
      </c>
      <c r="BS2" s="220" t="s">
        <v>696</v>
      </c>
      <c r="BT2" s="219" t="s">
        <v>179</v>
      </c>
      <c r="BU2" s="220" t="s">
        <v>180</v>
      </c>
      <c r="BV2" s="220" t="s">
        <v>181</v>
      </c>
      <c r="BW2" s="220" t="s">
        <v>182</v>
      </c>
      <c r="BX2" s="220" t="s">
        <v>183</v>
      </c>
      <c r="BY2" s="220" t="s">
        <v>184</v>
      </c>
      <c r="BZ2" s="220" t="s">
        <v>185</v>
      </c>
      <c r="CA2" s="220" t="s">
        <v>186</v>
      </c>
      <c r="CB2" s="220" t="s">
        <v>187</v>
      </c>
      <c r="CC2" s="220" t="s">
        <v>188</v>
      </c>
      <c r="CD2" s="220" t="s">
        <v>189</v>
      </c>
      <c r="CE2" s="220" t="s">
        <v>190</v>
      </c>
      <c r="CF2" s="219" t="s">
        <v>191</v>
      </c>
      <c r="CG2" s="220" t="s">
        <v>192</v>
      </c>
      <c r="CH2" s="220" t="s">
        <v>193</v>
      </c>
      <c r="CI2" s="220" t="s">
        <v>194</v>
      </c>
      <c r="CJ2" s="220" t="s">
        <v>195</v>
      </c>
      <c r="CK2" s="220" t="s">
        <v>196</v>
      </c>
      <c r="CL2" s="220" t="s">
        <v>197</v>
      </c>
      <c r="CM2" s="220" t="s">
        <v>198</v>
      </c>
      <c r="CN2" s="220" t="s">
        <v>199</v>
      </c>
      <c r="CO2" s="220" t="s">
        <v>200</v>
      </c>
      <c r="CP2" s="220" t="s">
        <v>201</v>
      </c>
      <c r="CQ2" s="220" t="s">
        <v>202</v>
      </c>
      <c r="CR2" s="219" t="s">
        <v>203</v>
      </c>
      <c r="CS2" s="220" t="s">
        <v>204</v>
      </c>
      <c r="CT2" s="220" t="s">
        <v>205</v>
      </c>
      <c r="CU2" s="220" t="s">
        <v>206</v>
      </c>
      <c r="CV2" s="220" t="s">
        <v>207</v>
      </c>
      <c r="CW2" s="220" t="s">
        <v>208</v>
      </c>
      <c r="CX2" s="220" t="s">
        <v>209</v>
      </c>
      <c r="CY2" s="220" t="s">
        <v>210</v>
      </c>
      <c r="CZ2" s="220" t="s">
        <v>211</v>
      </c>
      <c r="DA2" s="220" t="s">
        <v>212</v>
      </c>
      <c r="DB2" s="220" t="s">
        <v>213</v>
      </c>
      <c r="DC2" s="220" t="s">
        <v>214</v>
      </c>
      <c r="DD2" s="219" t="s">
        <v>215</v>
      </c>
      <c r="DE2" s="220" t="s">
        <v>216</v>
      </c>
      <c r="DF2" s="220" t="s">
        <v>217</v>
      </c>
      <c r="DG2" s="220" t="s">
        <v>218</v>
      </c>
      <c r="DH2" s="220" t="s">
        <v>219</v>
      </c>
      <c r="DI2" s="220" t="s">
        <v>220</v>
      </c>
      <c r="DJ2" s="220" t="s">
        <v>221</v>
      </c>
      <c r="DK2" s="220" t="s">
        <v>222</v>
      </c>
      <c r="DL2" s="220" t="s">
        <v>223</v>
      </c>
      <c r="DM2" s="220" t="s">
        <v>224</v>
      </c>
      <c r="DN2" s="220" t="s">
        <v>225</v>
      </c>
      <c r="DO2" s="220" t="s">
        <v>226</v>
      </c>
      <c r="DP2" s="219" t="s">
        <v>239</v>
      </c>
      <c r="DQ2" s="220" t="s">
        <v>240</v>
      </c>
      <c r="DR2" s="220" t="s">
        <v>241</v>
      </c>
      <c r="DS2" s="220" t="s">
        <v>242</v>
      </c>
      <c r="DT2" s="220" t="s">
        <v>243</v>
      </c>
      <c r="DU2" s="220" t="s">
        <v>244</v>
      </c>
      <c r="DV2" s="220" t="s">
        <v>245</v>
      </c>
      <c r="DW2" s="220" t="s">
        <v>246</v>
      </c>
      <c r="DX2" s="220" t="s">
        <v>247</v>
      </c>
      <c r="DY2" s="220" t="s">
        <v>248</v>
      </c>
      <c r="DZ2" s="220" t="s">
        <v>249</v>
      </c>
      <c r="EA2" s="220" t="s">
        <v>250</v>
      </c>
      <c r="EB2" s="248"/>
      <c r="EC2" s="249"/>
      <c r="ED2" s="249" t="s">
        <v>555</v>
      </c>
      <c r="EE2" s="249" t="s">
        <v>556</v>
      </c>
      <c r="EF2" s="249" t="s">
        <v>557</v>
      </c>
      <c r="EG2" s="249" t="s">
        <v>558</v>
      </c>
      <c r="EH2" s="249"/>
      <c r="EI2" s="249" t="s">
        <v>697</v>
      </c>
      <c r="EJ2" s="249" t="s">
        <v>559</v>
      </c>
      <c r="EK2" s="249" t="s">
        <v>560</v>
      </c>
      <c r="EL2" s="249" t="s">
        <v>698</v>
      </c>
      <c r="EM2" s="604" t="s">
        <v>699</v>
      </c>
    </row>
    <row r="3" spans="1:143" ht="80.45" customHeight="1">
      <c r="A3" s="558" t="s">
        <v>314</v>
      </c>
      <c r="B3" s="493" t="s">
        <v>113</v>
      </c>
      <c r="C3" s="559" t="s">
        <v>316</v>
      </c>
      <c r="D3" s="492" t="s">
        <v>700</v>
      </c>
      <c r="E3" s="492" t="s">
        <v>701</v>
      </c>
      <c r="F3" s="492" t="s">
        <v>702</v>
      </c>
      <c r="G3" s="492" t="s">
        <v>703</v>
      </c>
      <c r="H3" s="492" t="s">
        <v>704</v>
      </c>
      <c r="I3" s="493" t="s">
        <v>116</v>
      </c>
      <c r="J3" s="41" t="s">
        <v>118</v>
      </c>
      <c r="K3" s="558" t="s">
        <v>581</v>
      </c>
      <c r="L3" s="558" t="s">
        <v>474</v>
      </c>
      <c r="M3" s="558" t="s">
        <v>35</v>
      </c>
      <c r="N3" s="558" t="s">
        <v>37</v>
      </c>
      <c r="O3" s="558" t="s">
        <v>39</v>
      </c>
      <c r="P3" s="558" t="s">
        <v>47</v>
      </c>
      <c r="Q3" s="558" t="s">
        <v>53</v>
      </c>
      <c r="R3" s="183" t="s">
        <v>321</v>
      </c>
      <c r="S3" s="184" t="s">
        <v>323</v>
      </c>
      <c r="T3" s="194" t="s">
        <v>324</v>
      </c>
      <c r="U3" s="560" t="s">
        <v>327</v>
      </c>
      <c r="V3" s="560" t="s">
        <v>328</v>
      </c>
      <c r="W3" s="560" t="s">
        <v>124</v>
      </c>
      <c r="X3" s="561" t="s">
        <v>125</v>
      </c>
      <c r="Y3" s="562" t="s">
        <v>332</v>
      </c>
      <c r="Z3" s="563" t="s">
        <v>333</v>
      </c>
      <c r="AA3" s="564" t="s">
        <v>334</v>
      </c>
      <c r="AB3" s="562" t="s">
        <v>335</v>
      </c>
      <c r="AC3" s="563" t="s">
        <v>336</v>
      </c>
      <c r="AD3" s="563" t="s">
        <v>337</v>
      </c>
      <c r="AE3" s="563" t="s">
        <v>338</v>
      </c>
      <c r="AF3" s="564" t="s">
        <v>583</v>
      </c>
      <c r="AG3" s="563" t="s">
        <v>340</v>
      </c>
      <c r="AH3" s="563" t="s">
        <v>341</v>
      </c>
      <c r="AI3" s="563" t="s">
        <v>342</v>
      </c>
      <c r="AJ3" s="563" t="s">
        <v>343</v>
      </c>
      <c r="AK3" s="563" t="s">
        <v>344</v>
      </c>
      <c r="AL3" s="563" t="s">
        <v>345</v>
      </c>
      <c r="AM3" s="248" t="s">
        <v>584</v>
      </c>
      <c r="AN3" s="249" t="s">
        <v>705</v>
      </c>
      <c r="AO3" s="249" t="s">
        <v>706</v>
      </c>
      <c r="AP3" s="249" t="s">
        <v>707</v>
      </c>
      <c r="AQ3" s="249" t="s">
        <v>708</v>
      </c>
      <c r="AR3" s="249" t="s">
        <v>709</v>
      </c>
      <c r="AS3" s="249" t="s">
        <v>710</v>
      </c>
      <c r="AT3" s="249" t="s">
        <v>711</v>
      </c>
      <c r="AU3" s="249" t="s">
        <v>684</v>
      </c>
      <c r="AV3" s="367" t="s">
        <v>712</v>
      </c>
      <c r="AW3" s="366" t="s">
        <v>372</v>
      </c>
      <c r="AX3" s="366" t="s">
        <v>373</v>
      </c>
      <c r="AY3" s="366" t="s">
        <v>375</v>
      </c>
      <c r="AZ3" s="366" t="s">
        <v>377</v>
      </c>
      <c r="BA3" s="366" t="s">
        <v>378</v>
      </c>
      <c r="BB3" s="366" t="s">
        <v>379</v>
      </c>
      <c r="BC3" s="366" t="s">
        <v>660</v>
      </c>
      <c r="BD3" s="366" t="s">
        <v>659</v>
      </c>
      <c r="BE3" s="366" t="s">
        <v>713</v>
      </c>
      <c r="BF3" s="366" t="s">
        <v>661</v>
      </c>
      <c r="BG3" s="368" t="s">
        <v>662</v>
      </c>
      <c r="BH3" s="367" t="s">
        <v>685</v>
      </c>
      <c r="BI3" s="366" t="s">
        <v>686</v>
      </c>
      <c r="BJ3" s="366" t="s">
        <v>687</v>
      </c>
      <c r="BK3" s="366" t="s">
        <v>688</v>
      </c>
      <c r="BL3" s="366" t="s">
        <v>689</v>
      </c>
      <c r="BM3" s="366" t="s">
        <v>690</v>
      </c>
      <c r="BN3" s="366" t="s">
        <v>691</v>
      </c>
      <c r="BO3" s="366" t="s">
        <v>692</v>
      </c>
      <c r="BP3" s="366" t="s">
        <v>693</v>
      </c>
      <c r="BQ3" s="366" t="s">
        <v>694</v>
      </c>
      <c r="BR3" s="366" t="s">
        <v>695</v>
      </c>
      <c r="BS3" s="366" t="s">
        <v>696</v>
      </c>
      <c r="BT3" s="367" t="s">
        <v>634</v>
      </c>
      <c r="BU3" s="366" t="s">
        <v>635</v>
      </c>
      <c r="BV3" s="366" t="s">
        <v>636</v>
      </c>
      <c r="BW3" s="366" t="s">
        <v>637</v>
      </c>
      <c r="BX3" s="366" t="s">
        <v>638</v>
      </c>
      <c r="BY3" s="366" t="s">
        <v>639</v>
      </c>
      <c r="BZ3" s="366" t="s">
        <v>640</v>
      </c>
      <c r="CA3" s="366" t="s">
        <v>641</v>
      </c>
      <c r="CB3" s="366" t="s">
        <v>642</v>
      </c>
      <c r="CC3" s="366" t="s">
        <v>643</v>
      </c>
      <c r="CD3" s="366" t="s">
        <v>644</v>
      </c>
      <c r="CE3" s="366" t="s">
        <v>645</v>
      </c>
      <c r="CF3" s="367" t="s">
        <v>406</v>
      </c>
      <c r="CG3" s="366" t="s">
        <v>407</v>
      </c>
      <c r="CH3" s="366" t="s">
        <v>408</v>
      </c>
      <c r="CI3" s="366" t="s">
        <v>409</v>
      </c>
      <c r="CJ3" s="366" t="s">
        <v>410</v>
      </c>
      <c r="CK3" s="366" t="s">
        <v>411</v>
      </c>
      <c r="CL3" s="366" t="s">
        <v>412</v>
      </c>
      <c r="CM3" s="366" t="s">
        <v>413</v>
      </c>
      <c r="CN3" s="366" t="s">
        <v>414</v>
      </c>
      <c r="CO3" s="366" t="s">
        <v>415</v>
      </c>
      <c r="CP3" s="366" t="s">
        <v>416</v>
      </c>
      <c r="CQ3" s="366" t="s">
        <v>417</v>
      </c>
      <c r="CR3" s="367" t="s">
        <v>203</v>
      </c>
      <c r="CS3" s="366" t="s">
        <v>204</v>
      </c>
      <c r="CT3" s="366" t="s">
        <v>205</v>
      </c>
      <c r="CU3" s="366" t="s">
        <v>206</v>
      </c>
      <c r="CV3" s="366" t="s">
        <v>207</v>
      </c>
      <c r="CW3" s="366" t="s">
        <v>208</v>
      </c>
      <c r="CX3" s="366" t="s">
        <v>209</v>
      </c>
      <c r="CY3" s="366" t="s">
        <v>210</v>
      </c>
      <c r="CZ3" s="366" t="s">
        <v>211</v>
      </c>
      <c r="DA3" s="366" t="s">
        <v>212</v>
      </c>
      <c r="DB3" s="366" t="s">
        <v>213</v>
      </c>
      <c r="DC3" s="366" t="s">
        <v>214</v>
      </c>
      <c r="DD3" s="367" t="s">
        <v>418</v>
      </c>
      <c r="DE3" s="366" t="s">
        <v>419</v>
      </c>
      <c r="DF3" s="366" t="s">
        <v>420</v>
      </c>
      <c r="DG3" s="366" t="s">
        <v>421</v>
      </c>
      <c r="DH3" s="366" t="s">
        <v>422</v>
      </c>
      <c r="DI3" s="366" t="s">
        <v>423</v>
      </c>
      <c r="DJ3" s="366" t="s">
        <v>424</v>
      </c>
      <c r="DK3" s="366" t="s">
        <v>425</v>
      </c>
      <c r="DL3" s="366" t="s">
        <v>426</v>
      </c>
      <c r="DM3" s="366" t="s">
        <v>427</v>
      </c>
      <c r="DN3" s="366" t="s">
        <v>428</v>
      </c>
      <c r="DO3" s="366" t="s">
        <v>429</v>
      </c>
      <c r="DP3" s="367" t="s">
        <v>239</v>
      </c>
      <c r="DQ3" s="366" t="s">
        <v>240</v>
      </c>
      <c r="DR3" s="366" t="s">
        <v>241</v>
      </c>
      <c r="DS3" s="366" t="s">
        <v>242</v>
      </c>
      <c r="DT3" s="366" t="s">
        <v>243</v>
      </c>
      <c r="DU3" s="366" t="s">
        <v>244</v>
      </c>
      <c r="DV3" s="366" t="s">
        <v>245</v>
      </c>
      <c r="DW3" s="366" t="s">
        <v>246</v>
      </c>
      <c r="DX3" s="366" t="s">
        <v>247</v>
      </c>
      <c r="DY3" s="366" t="s">
        <v>248</v>
      </c>
      <c r="DZ3" s="366" t="s">
        <v>249</v>
      </c>
      <c r="EA3" s="366" t="s">
        <v>250</v>
      </c>
      <c r="EB3" s="248" t="s">
        <v>430</v>
      </c>
      <c r="EC3" s="249" t="s">
        <v>431</v>
      </c>
      <c r="ED3" s="249" t="s">
        <v>432</v>
      </c>
      <c r="EE3" s="249" t="s">
        <v>433</v>
      </c>
      <c r="EF3" s="249" t="s">
        <v>435</v>
      </c>
      <c r="EG3" s="249" t="s">
        <v>436</v>
      </c>
      <c r="EH3" s="249" t="s">
        <v>714</v>
      </c>
      <c r="EI3" s="249" t="s">
        <v>715</v>
      </c>
      <c r="EJ3" s="249" t="s">
        <v>646</v>
      </c>
      <c r="EK3" s="249" t="s">
        <v>647</v>
      </c>
      <c r="EL3" s="249" t="s">
        <v>716</v>
      </c>
      <c r="EM3" s="604" t="s">
        <v>717</v>
      </c>
    </row>
    <row r="4" spans="1:143" ht="16.5" customHeight="1">
      <c r="A4" s="484">
        <f>Data_Centre_Target_Energy</f>
        <v>0</v>
      </c>
      <c r="B4" s="485" t="str">
        <f>Data_Centre_Rating_Type</f>
        <v>&lt;Select&gt;</v>
      </c>
      <c r="C4" s="485">
        <f>Data_Centre_Postcode</f>
        <v>0</v>
      </c>
      <c r="D4" s="488">
        <f>Data_Centre_Assessable_Processing</f>
        <v>0</v>
      </c>
      <c r="E4" s="488">
        <f>Data_Centre_Assessable_Storage</f>
        <v>0</v>
      </c>
      <c r="F4" s="485">
        <f>Data_Centre_Rating_Period</f>
        <v>0</v>
      </c>
      <c r="G4" s="565">
        <f>Data_Centre_Percent_Metered_Heat_Rejection</f>
        <v>0</v>
      </c>
      <c r="H4" s="488">
        <f>Data_Centre_Assessable_IT_Energy</f>
        <v>0</v>
      </c>
      <c r="I4" s="487">
        <f>Data_Centre_Elec_Percent</f>
        <v>0</v>
      </c>
      <c r="J4" s="487">
        <f>Data_Centre_Diesel_Percent</f>
        <v>0</v>
      </c>
      <c r="K4" s="126">
        <f>tbl_Data_Centres_Multi[[#This Row],[Target Residual (p)]]</f>
        <v>0.94202898550724634</v>
      </c>
      <c r="L4" s="42" t="e">
        <f>tbl_Data_Centres_Multi[[#This Row],[er]]</f>
        <v>#N/A</v>
      </c>
      <c r="M4" s="42" t="e">
        <f>IF(tbl_Data_Centres_Multi[[#This Row],[Rating Type]]="IT Equipment",tbl_Data_Centres_Multi[[#This Row],[Target Rating Period Max IT CO2 ]],tbl_Data_Centres_Multi[[#This Row],[Target Max CO2]])</f>
        <v>#N/A</v>
      </c>
      <c r="N4" s="42" t="e">
        <f>tbl_Data_Centres_Multi[[#This Row],[Target Scopes 1,2&amp;3]]</f>
        <v>#N/A</v>
      </c>
      <c r="O4" s="42" t="e">
        <f>tbl_Data_Centres_Multi[[#This Row],[Target Scopes 1&amp;2]]</f>
        <v>#N/A</v>
      </c>
      <c r="P4" s="42" t="e">
        <f>IF(tbl_Data_Centres_Multi[[#This Row],[Rating Type]]="IT Equipment",tbl_Data_Centres_Multi[[#This Row],[Target Rating Period Max IT Elec (kWh)]],tbl_Data_Centres_Multi[[#This Row],[Target Max Elec (kWh)]])</f>
        <v>#N/A</v>
      </c>
      <c r="Q4" s="42" t="e">
        <f>tbl_Data_Centres_Multi[[#This Row],[Target Max Diesel (L)]]</f>
        <v>#N/A</v>
      </c>
      <c r="R4" s="566">
        <f>Data_Centre_Elec_FWD</f>
        <v>0</v>
      </c>
      <c r="S4" s="566">
        <f>Data_Centre_Diesel_FWD</f>
        <v>0</v>
      </c>
      <c r="T4" s="43">
        <f>Data_Centre_GreenPower_Percent_FWD</f>
        <v>0</v>
      </c>
      <c r="U4" s="45" t="e">
        <f>INDEX(tbl_Climate_Lookup[],MATCH(tbl_Data_Centres_Multi[[Postcode]:[Postcode]],tbl_Climate_Lookup[[Postcode]:[Postcode]],0),MATCH(tbl_Data_Centres_Multi[[#Headers],[State]],tbl_Climate_Lookup[#Headers],0))</f>
        <v>#N/A</v>
      </c>
      <c r="V4" s="45" t="e">
        <f>INDEX(tbl_Climate_Lookup[],MATCH(tbl_Data_Centres_Multi[[Postcode]:[Postcode]],tbl_Climate_Lookup[[Postcode]:[Postcode]],0),MATCH(tbl_Data_Centres_Multi[[#Headers],[Climate zone]],tbl_Climate_Lookup[#Headers],0))</f>
        <v>#N/A</v>
      </c>
      <c r="W4" s="169" t="e">
        <f>INDEX(tbl_Climate_Lookup[],MATCH(tbl_Data_Centres_Multi[[Postcode]:[Postcode]],tbl_Climate_Lookup[[Postcode]:[Postcode]],0),MATCH(tbl_Data_Centres_Multi[[#Headers],[HDD]],tbl_Climate_Lookup[#Headers],0))</f>
        <v>#N/A</v>
      </c>
      <c r="X4" s="169" t="e">
        <f>INDEX(tbl_Climate_Lookup[],MATCH(tbl_Data_Centres_Multi[[Postcode]:[Postcode]],tbl_Climate_Lookup[[Postcode]:[Postcode]],0),MATCH(tbl_Data_Centres_Multi[[#Headers],[CDD]],tbl_Climate_Lookup[#Headers],0))</f>
        <v>#N/A</v>
      </c>
      <c r="Y4" s="45" t="e">
        <f>INDEX(tbl_SGE_2020[],MATCH(tbl_Data_Centres_Multi[[State]:[State]],tbl_SGE_2020[[State]:[State]],0),MATCH(tbl_Data_Centres_Multi[[#Headers],[SGEe]],tbl_SGE_2020[#Headers],0))</f>
        <v>#N/A</v>
      </c>
      <c r="Z4" s="45" t="e">
        <f>INDEX(tbl_SGE_2020[],MATCH(tbl_Data_Centres_Multi[[State]:[State]],tbl_SGE_2020[[State]:[State]],0),MATCH(tbl_Data_Centres_Multi[[#Headers],[SGEg]],tbl_SGE_2020[#Headers],0))</f>
        <v>#N/A</v>
      </c>
      <c r="AA4" s="45" t="e">
        <f>INDEX(tbl_SGE_2020[],MATCH(tbl_Data_Centres_Multi[[State]:[State]],tbl_SGE_2020[[State]:[State]],0),MATCH(tbl_Data_Centres_Multi[[#Headers],[SGEd]],tbl_SGE_2020[#Headers],0))</f>
        <v>#N/A</v>
      </c>
      <c r="AB4" s="45">
        <f>INDEX(tbl_Conversion_Factors[[Conversion Factors]:[Conversion Factors]],MATCH(tbl_Apartment_Multi[[#Headers],[CFelec]],tbl_Conversion_Factors[[Reference]:[Reference]],0))</f>
        <v>3.6</v>
      </c>
      <c r="AC4" s="45">
        <f>INDEX(tbl_Conversion_Factors[[Conversion Factors]:[Conversion Factors]],MATCH(tbl_Apartment_Multi[[#Headers],[CFdiesel]],tbl_Conversion_Factors[[Reference]:[Reference]],0))</f>
        <v>38.6</v>
      </c>
      <c r="AD4" s="45" t="e">
        <f>tbl_Data_Centres_Multi[[#This Row],[SGEe]]/tbl_Data_Centres_Multi[[#This Row],[CFelec]]</f>
        <v>#N/A</v>
      </c>
      <c r="AE4" s="45" t="e">
        <f>tbl_Data_Centres_Multi[[#This Row],[SGEd]]/tbl_Data_Centres_Multi[[#This Row],[CFdiesel]]</f>
        <v>#N/A</v>
      </c>
      <c r="AF4" s="46">
        <f>IF(tbl_Data_Centres_Multi[[#This Row],[Rating Type]]="IT Equipment",
tbl_Data_Centres_Multi[[#This Row],[SGEeMJ]],
IF(SUM(tbl_Data_Centres_Multi[[#This Row],[Electricity (%)]:[Diesel (%)]])=1,
SUM(tbl_Data_Centres_Multi[[#This Row],[Electricity (%)]]*tbl_Data_Centres_Multi[[#This Row],[SGEeMJ]],
tbl_Data_Centres_Multi[[#This Row],[Diesel (%)]]*tbl_Data_Centres_Multi[[#This Row],[SGEdMJ]]),
0))</f>
        <v>0</v>
      </c>
      <c r="AG4" s="46" t="e">
        <f>INDEX(tbl_NGA_Factors_2021[],MATCH(tbl_Data_Centres_Multi[[State]:[State]],tbl_NGA_Factors_2021[[State]:[State]],0),MATCH(tbl_Data_Centres_Multi[[#Headers],[SGEe Scopes 1,2&amp;3]],tbl_NGA_Factors_2021[#Headers],0))</f>
        <v>#N/A</v>
      </c>
      <c r="AH4" s="46" t="e">
        <f>INDEX(tbl_NGA_Factors_2021[],MATCH(tbl_Data_Centres_Multi[[State]:[State]],tbl_NGA_Factors_2021[[State]:[State]],0),MATCH(tbl_Data_Centres_Multi[[#Headers],[SGEg Scopes 1,2&amp;3]],tbl_NGA_Factors_2021[#Headers],0))</f>
        <v>#N/A</v>
      </c>
      <c r="AI4" s="46" t="e">
        <f>INDEX(tbl_NGA_Factors_2021[],MATCH(tbl_Data_Centres_Multi[[State]:[State]],tbl_NGA_Factors_2021[[State]:[State]],0),MATCH(tbl_Data_Centres_Multi[[#Headers],[SGEd Scopes 1,2&amp;3]],tbl_NGA_Factors_2021[#Headers],0))</f>
        <v>#N/A</v>
      </c>
      <c r="AJ4" s="46" t="e">
        <f>INDEX(tbl_NGA_Factors_2021[],MATCH(tbl_Data_Centres_Multi[[State]:[State]],tbl_NGA_Factors_2021[[State]:[State]],0),MATCH(tbl_Data_Centres_Multi[[#Headers],[SGEe Scopes 1&amp;2]],tbl_NGA_Factors_2021[#Headers],0))</f>
        <v>#N/A</v>
      </c>
      <c r="AK4" s="46" t="e">
        <f>INDEX(tbl_NGA_Factors_2021[],MATCH(tbl_Data_Centres_Multi[[State]:[State]],tbl_NGA_Factors_2021[[State]:[State]],0),MATCH(tbl_Data_Centres_Multi[[#Headers],[SGEg Scopes 1&amp;2]],tbl_NGA_Factors_2021[#Headers],0))</f>
        <v>#N/A</v>
      </c>
      <c r="AL4" s="46" t="e">
        <f>INDEX(tbl_NGA_Factors_2021[],MATCH(tbl_Data_Centres_Multi[[State]:[State]],tbl_NGA_Factors_2021[[State]:[State]],0),MATCH(tbl_Data_Centres_Multi[[#Headers],[SGEd Scopes 1&amp;2]],tbl_NGA_Factors_2021[#Headers],0))</f>
        <v>#N/A</v>
      </c>
      <c r="AM4" s="169" t="e">
        <f>IF(tbl_Data_Centres_Multi[[#This Row],[Rating Type]]="IT Equipment",(tbl_Data_Centres_Multi[[#This Row],[Pcapacity]]*Data_Centre_C_Processing+tbl_Data_Centres_Multi[[#This Row],[Scapacity]]*Data_Centre_C_Storage)*tbl_Data_Centres_Multi[[#This Row],[SGEe]]*Data_Centre_C_IT_Median_Residual_Correction,
IF(tbl_Data_Centres_Multi[[#This Row],[Rating Type]]="Infrastructure",(Data_Centre_C_Infrastructure_Median_Emissions_Index-1)*tbl_Data_Centres_Multi[[#This Row],[EIT(Inf)]]+tbl_Data_Centres_Multi[[#This Row],[Climate Correction Infrastructure]]-tbl_Data_Centres_Multi[[#This Row],[Condenser Water Correction for Infrastructure]],Data_Centre_C_Infrastructure_Median_Emissions_Index*tbl_Data_Centres_Multi[[#This Row],[eIT(IT)]]+tbl_Data_Centres_Multi[[#This Row],[Climate Correction Whole Facility]]-tbl_Data_Centres_Multi[[#This Row],[Condenser Water Correction for Whole Facility]]))</f>
        <v>#N/A</v>
      </c>
      <c r="AN4" s="567" t="e">
        <f>tbl_Data_Centres_Multi[[#This Row],[Assessable IT Energy]]*tbl_Data_Centres_Multi[[#This Row],[SGEe]]</f>
        <v>#N/A</v>
      </c>
      <c r="AO4" s="567">
        <f>SUM(tbl_Data_Centres_Multi[[#This Row],[Pcapacity]]*Data_Centre_C_Processing,tbl_Data_Centres_Multi[[#This Row],[Scapacity]]*Data_Centre_C_Storage)*Data_Centre_C_IT_Median_Residual_Correction</f>
        <v>0</v>
      </c>
      <c r="AP4" s="567" t="e">
        <f>SUM(tbl_Data_Centres_Multi[[#This Row],[Pcapacity]]*Data_Centre_C_Processing,tbl_Data_Centres_Multi[[#This Row],[Scapacity]]*Data_Centre_C_Storage)*tbl_Data_Centres_Multi[[#This Row],[SGEe]]*Data_Centre_C_IT_Median_Residual_Correction</f>
        <v>#N/A</v>
      </c>
      <c r="AQ4" s="567" t="e">
        <f>ROUNDDOWN(Data_Centre_C_Infrastructure_Median_Emissions_Index*tbl_Data_Centres_Multi[[#This Row],[EIT(Inf)]]*tbl_Data_Centres_Multi[[#This Row],[%HRMetered]]/Data_Centre_C_Ave_CRAC_Performance*Data_Centre_C_CRAC_Increase_Per_DEG*(tbl_Data_Centres_Multi[[#This Row],[CDD]]-Data_Centre_C_Average_Sample_CDD)/365,0)</f>
        <v>#N/A</v>
      </c>
      <c r="AR4" s="567" t="e">
        <f>Data_Centre_C_Heat_Rejection_Plant_Per_Heat_Rejected*Data_Centre_C_Infrastructure_Median_Emissions_Index*tbl_Data_Centres_Multi[[#This Row],[EIT(Inf)]]*(1-tbl_Data_Centres_Multi[[#This Row],[%HRMetered]])</f>
        <v>#N/A</v>
      </c>
      <c r="AS4" s="567" t="e">
        <f>Data_Centre_C_Infrastructure_Median_Emissions_Index*tbl_Data_Centres_Multi[[#This Row],[eIT(IT)]]*tbl_Data_Centres_Multi[[#This Row],[%HRMetered]]/Data_Centre_C_Ave_CRAC_Performance*Data_Centre_C_CRAC_Increase_Per_DEG*(tbl_Data_Centres_Multi[[#This Row],[CDD]]-Data_Centre_C_Average_Sample_CDD)/365</f>
        <v>#N/A</v>
      </c>
      <c r="AT4" s="567" t="e">
        <f>Data_Centre_C_Heat_Rejection_Plant_Per_Heat_Rejected*Data_Centre_C_Infrastructure_Median_Emissions_Index*tbl_Data_Centres_Multi[[#This Row],[eIT(IT)]]*(1-tbl_Data_Centres_Multi[[#This Row],[%HRMetered]])</f>
        <v>#N/A</v>
      </c>
      <c r="AU4" s="45">
        <f>IF(tbl_Data_Centres_Multi[[#This Row],[Rating Type]]="IT Equipment",Data_Centre_C_IT_Workload,
IF(tbl_Data_Centres_Multi[[#This Row],[Rating Type]]="Infrastructure",Data_Centre_C_Infrastructure,
Data_Centre_C_WholeFacility))</f>
        <v>3.45</v>
      </c>
      <c r="AV4" s="48">
        <f>(tbl_Data_Centres_Multi[[#This Row],[Target Energy]]-Data_Centre_C_Reverse_Star_Band_Residual_Adjustment-Data_Centre_C_Median_Performance)/-(tbl_Data_Centres_Multi[[#This Row],[Rating Band Coefficient]])</f>
        <v>0.94202898550724634</v>
      </c>
      <c r="AW4" s="44" t="e">
        <f>tbl_Data_Centres_Multi[[#This Row],[er]]*(tbl_Data_Centres_Multi[[#This Row],[Target Residual (p)]]+1)</f>
        <v>#N/A</v>
      </c>
      <c r="AX4" s="44" t="e">
        <f>tbl_Data_Centres_Multi[[#This Row],[Target Max CO2]]/tbl_Data_Centres_Multi[[#This Row],[EffGHG]]</f>
        <v>#N/A</v>
      </c>
      <c r="AY4" s="44" t="e">
        <f>ROUNDDOWN(tbl_Data_Centres_Multi[[#This Row],[Target Max Energy (MJ)]]*IF(tbl_Data_Centres_Multi[[#This Row],[Rating Type]]="IT Equipment",100%,tbl_Data_Centres_Multi[[#This Row],[Electricity (%)]])/tbl_Data_Centres_Multi[[#This Row],[CFelec]],0)</f>
        <v>#N/A</v>
      </c>
      <c r="AZ4" s="44" t="e">
        <f>ROUNDDOWN(tbl_Data_Centres_Multi[[#This Row],[Target Max Energy (MJ)]]*IF(tbl_Data_Centres_Multi[[#This Row],[Rating Type]]="IT Equipment",0%,tbl_Data_Centres_Multi[Diesel (%)])/tbl_Data_Centres_Multi[[#This Row],[CFdiesel]],0)</f>
        <v>#N/A</v>
      </c>
      <c r="BA4" s="44" t="e">
        <f>IF(tbl_Data_Centres_Multi[[#This Row],[Rating Type]]="IT Equipment",tbl_Data_Centres_Multi[[#This Row],[Target Rating Period Max IT Elec (kWh)]]*tbl_Data_Centres_Multi[[#This Row],[SGEe Scopes 1,2&amp;3]],
SUM(tbl_Data_Centres_Multi[[#This Row],[Target Max Elec (kWh)]]*tbl_Data_Centres_Multi[[#This Row],[SGEe Scopes 1,2&amp;3]],
tbl_Data_Centres_Multi[[#This Row],[Target Max Diesel (L)]]*tbl_Data_Centres_Multi[[#This Row],[SGEd Scopes 1,2&amp;3]]))</f>
        <v>#N/A</v>
      </c>
      <c r="BB4" s="44" t="e">
        <f>IF(tbl_Data_Centres_Multi[[#This Row],[Rating Type]]="IT Equipment",tbl_Data_Centres_Multi[[#This Row],[Target Rating Period Max IT Elec (kWh)]]*tbl_Data_Centres_Multi[[#This Row],[SGEe Scopes 1&amp;2]],
SUM(tbl_Data_Centres_Multi[[#This Row],[Target Max Elec (kWh)]]*tbl_Data_Centres_Multi[[#This Row],[SGEe Scopes 1&amp;2]],
tbl_Data_Centres_Multi[[#This Row],[Target Max Diesel (L)]]*tbl_Data_Centres_Multi[[#This Row],[SGEd Scopes 1&amp;2]]))</f>
        <v>#N/A</v>
      </c>
      <c r="BC4" s="296">
        <f>IF(tbl_Data_Centres_Multi[[#This Row],[Rating Type]]="Infrastructure",1+tbl_Data_Centres_Multi[[#This Row],[Target Max Elec (kWh)]]/tbl_Data_Centres_Multi[[#This Row],[Assessable IT Energy]],
IF(tbl_Data_Centres_Multi[[#This Row],[Rating Type]]="Whole Facility",tbl_Data_Centres_Multi[[#This Row],[Target Max Elec (kWh)]]/tbl_Data_Centres_Multi[[#This Row],[EITkWhBenchmark]],
0))</f>
        <v>0</v>
      </c>
      <c r="BD4" s="44" t="e">
        <f>tbl_Data_Centres_Multi[[#This Row],[Target Max CO2]]/365</f>
        <v>#N/A</v>
      </c>
      <c r="BE4" s="44" t="e">
        <f>tbl_Data_Centres_Multi[[#This Row],[Max Daily IT Emissions at Target]]*tbl_Data_Centres_Multi[[#This Row],[Rating Period]]</f>
        <v>#N/A</v>
      </c>
      <c r="BF4" s="44" t="e">
        <f>ROUNDDOWN(tbl_Data_Centres_Multi[[#This Row],[Target Rating Period Max IT CO2 ]]/tbl_Data_Centres_Multi[[#This Row],[SGEe]],0)</f>
        <v>#N/A</v>
      </c>
      <c r="BG4" s="47" t="e">
        <f>tbl_Data_Centres_Multi[[#This Row],[Max Daily IT Emissions at Target]]/tbl_Data_Centres_Multi[[#This Row],[SGEe]]</f>
        <v>#N/A</v>
      </c>
      <c r="BH4" s="36">
        <f>(LEFT(tbl_Data_Centres_Multi[[#Headers],[6.0* Max Residual]],3)-Data_Centre_C_Reverse_Star_Band_Residual_Adjustment-Data_Centre_C_Median_Performance)/-tbl_Data_Centres_Multi[[Rating Band Coefficient]:[Rating Band Coefficient]]</f>
        <v>-0.79710144927536231</v>
      </c>
      <c r="BI4" s="36">
        <f>(LEFT(tbl_Data_Centres_Multi[[#Headers],[5.5* Max Residual]],3)-Data_Centre_C_Reverse_Star_Band_Residual_Adjustment-Data_Centre_C_Median_Performance)/-tbl_Data_Centres_Multi[[Rating Band Coefficient]:[Rating Band Coefficient]]</f>
        <v>-0.65217391304347827</v>
      </c>
      <c r="BJ4" s="36">
        <f>(LEFT(tbl_Data_Centres_Multi[[#Headers],[5.0* Max Residual]],3)-Data_Centre_C_Reverse_Star_Band_Residual_Adjustment-Data_Centre_C_Median_Performance)/-tbl_Data_Centres_Multi[[Rating Band Coefficient]:[Rating Band Coefficient]]</f>
        <v>-0.50724637681159412</v>
      </c>
      <c r="BK4" s="36">
        <f>(LEFT(tbl_Data_Centres_Multi[[#Headers],[4.5* Max Residual]],3)-Data_Centre_C_Reverse_Star_Band_Residual_Adjustment-Data_Centre_C_Median_Performance)/-tbl_Data_Centres_Multi[[Rating Band Coefficient]:[Rating Band Coefficient]]</f>
        <v>-0.36231884057971014</v>
      </c>
      <c r="BL4" s="36">
        <f>(LEFT(tbl_Data_Centres_Multi[[#Headers],[4.0* Max Residual]],3)-Data_Centre_C_Reverse_Star_Band_Residual_Adjustment-Data_Centre_C_Median_Performance)/-tbl_Data_Centres_Multi[[Rating Band Coefficient]:[Rating Band Coefficient]]</f>
        <v>-0.21739130434782608</v>
      </c>
      <c r="BM4" s="36">
        <f>(LEFT(tbl_Data_Centres_Multi[[#Headers],[3.5* Max Residual]],3)-Data_Centre_C_Reverse_Star_Band_Residual_Adjustment-Data_Centre_C_Median_Performance)/-tbl_Data_Centres_Multi[[Rating Band Coefficient]:[Rating Band Coefficient]]</f>
        <v>-7.2463768115942032E-2</v>
      </c>
      <c r="BN4" s="36">
        <f>(LEFT(tbl_Data_Centres_Multi[[#Headers],[3.0* Max Residual]],3)-Data_Centre_C_Reverse_Star_Band_Residual_Adjustment-Data_Centre_C_Median_Performance)/-tbl_Data_Centres_Multi[[Rating Band Coefficient]:[Rating Band Coefficient]]</f>
        <v>7.2463768115942032E-2</v>
      </c>
      <c r="BO4" s="36">
        <f>(LEFT(tbl_Data_Centres_Multi[[#Headers],[2.5* Max Residual]],3)-Data_Centre_C_Reverse_Star_Band_Residual_Adjustment-Data_Centre_C_Median_Performance)/-tbl_Data_Centres_Multi[[Rating Band Coefficient]:[Rating Band Coefficient]]</f>
        <v>0.21739130434782608</v>
      </c>
      <c r="BP4" s="36">
        <f>(LEFT(tbl_Data_Centres_Multi[[#Headers],[2.0* Max Residual]],3)-Data_Centre_C_Reverse_Star_Band_Residual_Adjustment-Data_Centre_C_Median_Performance)/-tbl_Data_Centres_Multi[[Rating Band Coefficient]:[Rating Band Coefficient]]</f>
        <v>0.36231884057971014</v>
      </c>
      <c r="BQ4" s="36">
        <f>(LEFT(tbl_Data_Centres_Multi[[#Headers],[1.5* Max Residual]],3)-Data_Centre_C_Reverse_Star_Band_Residual_Adjustment-Data_Centre_C_Median_Performance)/-tbl_Data_Centres_Multi[[Rating Band Coefficient]:[Rating Band Coefficient]]</f>
        <v>0.50724637681159412</v>
      </c>
      <c r="BR4" s="36">
        <f>(LEFT(tbl_Data_Centres_Multi[[#Headers],[1.0* Max Residual]],3)-Data_Centre_C_Reverse_Star_Band_Residual_Adjustment-Data_Centre_C_Median_Performance)/-tbl_Data_Centres_Multi[[Rating Band Coefficient]:[Rating Band Coefficient]]</f>
        <v>0.65217391304347827</v>
      </c>
      <c r="BS4" s="36">
        <f>(LEFT(tbl_Data_Centres_Multi[[#Headers],[0.0* Max Residual]],3)-Data_Centre_C_Reverse_Star_Band_Residual_Adjustment-Data_Centre_C_Median_Performance)/-tbl_Data_Centres_Multi[[Rating Band Coefficient]:[Rating Band Coefficient]]</f>
        <v>0.94202898550724634</v>
      </c>
      <c r="BT4" s="36" t="e">
        <f>tbl_Data_Centres_Multi[[er]:[er]]*(tbl_Data_Centres_Multi[[#This Row],[6.0* Max Residual]]+1)</f>
        <v>#N/A</v>
      </c>
      <c r="BU4" s="36" t="e">
        <f>tbl_Data_Centres_Multi[[er]:[er]]*(tbl_Data_Centres_Multi[[#This Row],[5.5* Max Residual]]+1)</f>
        <v>#N/A</v>
      </c>
      <c r="BV4" s="36" t="e">
        <f>tbl_Data_Centres_Multi[[er]:[er]]*(tbl_Data_Centres_Multi[[#This Row],[5.0* Max Residual]]+1)</f>
        <v>#N/A</v>
      </c>
      <c r="BW4" s="36" t="e">
        <f>tbl_Data_Centres_Multi[[er]:[er]]*(tbl_Data_Centres_Multi[[#This Row],[4.5* Max Residual]]+1)</f>
        <v>#N/A</v>
      </c>
      <c r="BX4" s="36" t="e">
        <f>tbl_Data_Centres_Multi[[er]:[er]]*(tbl_Data_Centres_Multi[[#This Row],[4.0* Max Residual]]+1)</f>
        <v>#N/A</v>
      </c>
      <c r="BY4" s="36" t="e">
        <f>tbl_Data_Centres_Multi[[er]:[er]]*(tbl_Data_Centres_Multi[[#This Row],[3.5* Max Residual]]+1)</f>
        <v>#N/A</v>
      </c>
      <c r="BZ4" s="36" t="e">
        <f>tbl_Data_Centres_Multi[[er]:[er]]*(tbl_Data_Centres_Multi[[#This Row],[3.0* Max Residual]]+1)</f>
        <v>#N/A</v>
      </c>
      <c r="CA4" s="36" t="e">
        <f>tbl_Data_Centres_Multi[[er]:[er]]*(tbl_Data_Centres_Multi[[#This Row],[2.5* Max Residual]]+1)</f>
        <v>#N/A</v>
      </c>
      <c r="CB4" s="36" t="e">
        <f>tbl_Data_Centres_Multi[[er]:[er]]*(tbl_Data_Centres_Multi[[#This Row],[2.0* Max Residual]]+1)</f>
        <v>#N/A</v>
      </c>
      <c r="CC4" s="36" t="e">
        <f>tbl_Data_Centres_Multi[[er]:[er]]*(tbl_Data_Centres_Multi[[#This Row],[1.5* Max Residual]]+1)</f>
        <v>#N/A</v>
      </c>
      <c r="CD4" s="36" t="e">
        <f>tbl_Data_Centres_Multi[[er]:[er]]*(tbl_Data_Centres_Multi[[#This Row],[1.0* Max Residual]]+1)</f>
        <v>#N/A</v>
      </c>
      <c r="CE4" s="36" t="e">
        <f>tbl_Data_Centres_Multi[[er]:[er]]*(tbl_Data_Centres_Multi[[#This Row],[0.0* Max Residual]]+1)</f>
        <v>#N/A</v>
      </c>
      <c r="CF4" s="44" t="e">
        <f>tbl_Data_Centres_Multi[[er]:[er]]*(tbl_Data_Centres_Multi[[#This Row],[6.0* Max Residual]]+1)</f>
        <v>#N/A</v>
      </c>
      <c r="CG4" s="44" t="e">
        <f>tbl_Data_Centres_Multi[[er]:[er]]*(tbl_Data_Centres_Multi[[#This Row],[5.5* Max Residual]]+1)</f>
        <v>#N/A</v>
      </c>
      <c r="CH4" s="44" t="e">
        <f>tbl_Data_Centres_Multi[[er]:[er]]*(tbl_Data_Centres_Multi[[#This Row],[5.0* Max Residual]]+1)</f>
        <v>#N/A</v>
      </c>
      <c r="CI4" s="44" t="e">
        <f>tbl_Data_Centres_Multi[[er]:[er]]*(tbl_Data_Centres_Multi[[#This Row],[4.5* Max Residual]]+1)</f>
        <v>#N/A</v>
      </c>
      <c r="CJ4" s="44" t="e">
        <f>tbl_Data_Centres_Multi[[er]:[er]]*(tbl_Data_Centres_Multi[[#This Row],[4.0* Max Residual]]+1)</f>
        <v>#N/A</v>
      </c>
      <c r="CK4" s="44" t="e">
        <f>tbl_Data_Centres_Multi[[er]:[er]]*(tbl_Data_Centres_Multi[[#This Row],[3.5* Max Residual]]+1)</f>
        <v>#N/A</v>
      </c>
      <c r="CL4" s="44" t="e">
        <f>tbl_Data_Centres_Multi[[er]:[er]]*(tbl_Data_Centres_Multi[[#This Row],[3.0* Max Residual]]+1)</f>
        <v>#N/A</v>
      </c>
      <c r="CM4" s="44" t="e">
        <f>tbl_Data_Centres_Multi[[er]:[er]]*(tbl_Data_Centres_Multi[[#This Row],[2.5* Max Residual]]+1)</f>
        <v>#N/A</v>
      </c>
      <c r="CN4" s="44" t="e">
        <f>tbl_Data_Centres_Multi[[er]:[er]]*(tbl_Data_Centres_Multi[[#This Row],[2.0* Max Residual]]+1)</f>
        <v>#N/A</v>
      </c>
      <c r="CO4" s="44" t="e">
        <f>tbl_Data_Centres_Multi[[er]:[er]]*(tbl_Data_Centres_Multi[[#This Row],[1.5* Max Residual]]+1)</f>
        <v>#N/A</v>
      </c>
      <c r="CP4" s="44" t="e">
        <f>tbl_Data_Centres_Multi[[er]:[er]]*(tbl_Data_Centres_Multi[[#This Row],[1.0* Max Residual]]+1)</f>
        <v>#N/A</v>
      </c>
      <c r="CQ4" s="44" t="e">
        <f>tbl_Data_Centres_Multi[[er]:[er]]*(tbl_Data_Centres_Multi[[#This Row],[0.0* Max Residual]]+1)</f>
        <v>#N/A</v>
      </c>
      <c r="CR4" s="44" t="e">
        <f>tbl_Data_Centres_Multi[[#This Row],[6.0* Max CO2]]/IF(tbl_Data_Centres_Multi[[Rating Type]:[Rating Type]]="IT Equipment",tbl_Data_Centres_Multi[[SGEe]:[SGEe]],tbl_Data_Centres_Multi[[EffGHG]:[EffGHG]])</f>
        <v>#N/A</v>
      </c>
      <c r="CS4" s="44" t="e">
        <f>tbl_Data_Centres_Multi[[#This Row],[5.5* Max CO2]]/IF(tbl_Data_Centres_Multi[[Rating Type]:[Rating Type]]="IT Equipment",tbl_Data_Centres_Multi[[SGEe]:[SGEe]],tbl_Data_Centres_Multi[[EffGHG]:[EffGHG]])</f>
        <v>#N/A</v>
      </c>
      <c r="CT4" s="44" t="e">
        <f>tbl_Data_Centres_Multi[[#This Row],[5.0* Max CO2]]/IF(tbl_Data_Centres_Multi[[Rating Type]:[Rating Type]]="IT Equipment",tbl_Data_Centres_Multi[[SGEe]:[SGEe]],tbl_Data_Centres_Multi[[EffGHG]:[EffGHG]])</f>
        <v>#N/A</v>
      </c>
      <c r="CU4" s="44" t="e">
        <f>tbl_Data_Centres_Multi[[#This Row],[4.5* Max CO2]]/IF(tbl_Data_Centres_Multi[[Rating Type]:[Rating Type]]="IT Equipment",tbl_Data_Centres_Multi[[SGEe]:[SGEe]],tbl_Data_Centres_Multi[[EffGHG]:[EffGHG]])</f>
        <v>#N/A</v>
      </c>
      <c r="CV4" s="44" t="e">
        <f>tbl_Data_Centres_Multi[[#This Row],[4.0* Max CO2]]/IF(tbl_Data_Centres_Multi[[Rating Type]:[Rating Type]]="IT Equipment",tbl_Data_Centres_Multi[[SGEe]:[SGEe]],tbl_Data_Centres_Multi[[EffGHG]:[EffGHG]])</f>
        <v>#N/A</v>
      </c>
      <c r="CW4" s="44" t="e">
        <f>tbl_Data_Centres_Multi[[#This Row],[3.5* Max CO2]]/IF(tbl_Data_Centres_Multi[[Rating Type]:[Rating Type]]="IT Equipment",tbl_Data_Centres_Multi[[SGEe]:[SGEe]],tbl_Data_Centres_Multi[[EffGHG]:[EffGHG]])</f>
        <v>#N/A</v>
      </c>
      <c r="CX4" s="44" t="e">
        <f>tbl_Data_Centres_Multi[[#This Row],[3.0* Max CO2]]/IF(tbl_Data_Centres_Multi[[Rating Type]:[Rating Type]]="IT Equipment",tbl_Data_Centres_Multi[[SGEe]:[SGEe]],tbl_Data_Centres_Multi[[EffGHG]:[EffGHG]])</f>
        <v>#N/A</v>
      </c>
      <c r="CY4" s="44" t="e">
        <f>tbl_Data_Centres_Multi[[#This Row],[2.5* Max CO2]]/IF(tbl_Data_Centres_Multi[[Rating Type]:[Rating Type]]="IT Equipment",tbl_Data_Centres_Multi[[SGEe]:[SGEe]],tbl_Data_Centres_Multi[[EffGHG]:[EffGHG]])</f>
        <v>#N/A</v>
      </c>
      <c r="CZ4" s="44" t="e">
        <f>tbl_Data_Centres_Multi[[#This Row],[2.0* Max CO2]]/IF(tbl_Data_Centres_Multi[[Rating Type]:[Rating Type]]="IT Equipment",tbl_Data_Centres_Multi[[SGEe]:[SGEe]],tbl_Data_Centres_Multi[[EffGHG]:[EffGHG]])</f>
        <v>#N/A</v>
      </c>
      <c r="DA4" s="44" t="e">
        <f>tbl_Data_Centres_Multi[[#This Row],[1.5* Max CO2]]/IF(tbl_Data_Centres_Multi[[Rating Type]:[Rating Type]]="IT Equipment",tbl_Data_Centres_Multi[[SGEe]:[SGEe]],tbl_Data_Centres_Multi[[EffGHG]:[EffGHG]])</f>
        <v>#N/A</v>
      </c>
      <c r="DB4" s="44" t="e">
        <f>tbl_Data_Centres_Multi[[#This Row],[1.0* Max CO2]]/IF(tbl_Data_Centres_Multi[[Rating Type]:[Rating Type]]="IT Equipment",tbl_Data_Centres_Multi[[SGEe]:[SGEe]],tbl_Data_Centres_Multi[[EffGHG]:[EffGHG]])</f>
        <v>#N/A</v>
      </c>
      <c r="DC4" s="44" t="e">
        <f>tbl_Data_Centres_Multi[[#This Row],[0.0* Max CO2]]/IF(tbl_Data_Centres_Multi[[Rating Type]:[Rating Type]]="IT Equipment",tbl_Data_Centres_Multi[[SGEe]:[SGEe]],tbl_Data_Centres_Multi[[EffGHG]:[EffGHG]])</f>
        <v>#N/A</v>
      </c>
      <c r="DD4" s="44" t="e">
        <f>ROUNDDOWN(tbl_Data_Centres_Multi[[#This Row],[6.0* Max Energy (MJ)]]*IF(tbl_Data_Centres_Multi[[Rating Type]:[Rating Type]]="IT Equipment",100%,tbl_Data_Centres_Multi[[Electricity (%)]:[Electricity (%)]])/tbl_Data_Centres_Multi[[CFelec]:[CFelec]],0)</f>
        <v>#N/A</v>
      </c>
      <c r="DE4" s="44" t="e">
        <f>ROUNDDOWN(tbl_Data_Centres_Multi[[#This Row],[5.5* Max Energy (MJ)]]*IF(tbl_Data_Centres_Multi[[Rating Type]:[Rating Type]]="IT Equipment",100%,tbl_Data_Centres_Multi[[Electricity (%)]:[Electricity (%)]])/tbl_Data_Centres_Multi[[CFelec]:[CFelec]],0)</f>
        <v>#N/A</v>
      </c>
      <c r="DF4" s="44" t="e">
        <f>ROUNDDOWN(tbl_Data_Centres_Multi[[#This Row],[5.0* Max Energy (MJ)]]*IF(tbl_Data_Centres_Multi[[Rating Type]:[Rating Type]]="IT Equipment",100%,tbl_Data_Centres_Multi[[Electricity (%)]:[Electricity (%)]])/tbl_Data_Centres_Multi[[CFelec]:[CFelec]],0)</f>
        <v>#N/A</v>
      </c>
      <c r="DG4" s="44" t="e">
        <f>ROUNDDOWN(tbl_Data_Centres_Multi[[#This Row],[4.5* Max Energy (MJ)]]*IF(tbl_Data_Centres_Multi[[Rating Type]:[Rating Type]]="IT Equipment",100%,tbl_Data_Centres_Multi[[Electricity (%)]:[Electricity (%)]])/tbl_Data_Centres_Multi[[CFelec]:[CFelec]],0)</f>
        <v>#N/A</v>
      </c>
      <c r="DH4" s="44" t="e">
        <f>ROUNDDOWN(tbl_Data_Centres_Multi[[#This Row],[4.0* Max Energy (MJ)]]*IF(tbl_Data_Centres_Multi[[Rating Type]:[Rating Type]]="IT Equipment",100%,tbl_Data_Centres_Multi[[Electricity (%)]:[Electricity (%)]])/tbl_Data_Centres_Multi[[CFelec]:[CFelec]],0)</f>
        <v>#N/A</v>
      </c>
      <c r="DI4" s="44" t="e">
        <f>ROUNDDOWN(tbl_Data_Centres_Multi[[#This Row],[3.5* Max Energy (MJ)]]*IF(tbl_Data_Centres_Multi[[Rating Type]:[Rating Type]]="IT Equipment",100%,tbl_Data_Centres_Multi[[Electricity (%)]:[Electricity (%)]])/tbl_Data_Centres_Multi[[CFelec]:[CFelec]],0)</f>
        <v>#N/A</v>
      </c>
      <c r="DJ4" s="44" t="e">
        <f>ROUNDDOWN(tbl_Data_Centres_Multi[[#This Row],[3.0* Max Energy (MJ)]]*IF(tbl_Data_Centres_Multi[[Rating Type]:[Rating Type]]="IT Equipment",100%,tbl_Data_Centres_Multi[[Electricity (%)]:[Electricity (%)]])/tbl_Data_Centres_Multi[[CFelec]:[CFelec]],0)</f>
        <v>#N/A</v>
      </c>
      <c r="DK4" s="44" t="e">
        <f>ROUNDDOWN(tbl_Data_Centres_Multi[[#This Row],[2.5* Max Energy (MJ)]]*IF(tbl_Data_Centres_Multi[[Rating Type]:[Rating Type]]="IT Equipment",100%,tbl_Data_Centres_Multi[[Electricity (%)]:[Electricity (%)]])/tbl_Data_Centres_Multi[[CFelec]:[CFelec]],0)</f>
        <v>#N/A</v>
      </c>
      <c r="DL4" s="44" t="e">
        <f>ROUNDDOWN(tbl_Data_Centres_Multi[[#This Row],[2.0* Max Energy (MJ)]]*IF(tbl_Data_Centres_Multi[[Rating Type]:[Rating Type]]="IT Equipment",100%,tbl_Data_Centres_Multi[[Electricity (%)]:[Electricity (%)]])/tbl_Data_Centres_Multi[[CFelec]:[CFelec]],0)</f>
        <v>#N/A</v>
      </c>
      <c r="DM4" s="44" t="e">
        <f>ROUNDDOWN(tbl_Data_Centres_Multi[[#This Row],[1.5* Max Energy (MJ)]]*IF(tbl_Data_Centres_Multi[[Rating Type]:[Rating Type]]="IT Equipment",100%,tbl_Data_Centres_Multi[[Electricity (%)]:[Electricity (%)]])/tbl_Data_Centres_Multi[[CFelec]:[CFelec]],0)</f>
        <v>#N/A</v>
      </c>
      <c r="DN4" s="44" t="e">
        <f>ROUNDDOWN(tbl_Data_Centres_Multi[[#This Row],[1.0* Max Energy (MJ)]]*IF(tbl_Data_Centres_Multi[[Rating Type]:[Rating Type]]="IT Equipment",100%,tbl_Data_Centres_Multi[[Electricity (%)]:[Electricity (%)]])/tbl_Data_Centres_Multi[[CFelec]:[CFelec]],0)</f>
        <v>#N/A</v>
      </c>
      <c r="DO4" s="44" t="e">
        <f>ROUNDDOWN(tbl_Data_Centres_Multi[[#This Row],[0.0* Max Energy (MJ)]]*IF(tbl_Data_Centres_Multi[[Rating Type]:[Rating Type]]="IT Equipment",100%,tbl_Data_Centres_Multi[[Electricity (%)]:[Electricity (%)]])/tbl_Data_Centres_Multi[[CFelec]:[CFelec]],0)</f>
        <v>#N/A</v>
      </c>
      <c r="DP4" s="44" t="e">
        <f>ROUNDDOWN(tbl_Data_Centres_Multi[[#This Row],[6.0* Max Energy (MJ)]]*IF(tbl_Data_Centres_Multi[[Rating Type]:[Rating Type]]="IT Equipment",0%,tbl_Data_Centres_Multi[[Diesel (%)]:[Diesel (%)]])/tbl_Data_Centres_Multi[[CFdiesel]:[CFdiesel]],0)</f>
        <v>#N/A</v>
      </c>
      <c r="DQ4" s="44" t="e">
        <f>ROUNDDOWN(tbl_Data_Centres_Multi[[#This Row],[5.5* Max Energy (MJ)]]*IF(tbl_Data_Centres_Multi[[Rating Type]:[Rating Type]]="IT Equipment",0%,tbl_Data_Centres_Multi[[Diesel (%)]:[Diesel (%)]])/tbl_Data_Centres_Multi[[CFdiesel]:[CFdiesel]],0)</f>
        <v>#N/A</v>
      </c>
      <c r="DR4" s="44" t="e">
        <f>ROUNDDOWN(tbl_Data_Centres_Multi[[#This Row],[5.0* Max Energy (MJ)]]*IF(tbl_Data_Centres_Multi[[Rating Type]:[Rating Type]]="IT Equipment",0%,tbl_Data_Centres_Multi[[Diesel (%)]:[Diesel (%)]])/tbl_Data_Centres_Multi[[CFdiesel]:[CFdiesel]],0)</f>
        <v>#N/A</v>
      </c>
      <c r="DS4" s="44" t="e">
        <f>ROUNDDOWN(tbl_Data_Centres_Multi[[#This Row],[4.5* Max Energy (MJ)]]*IF(tbl_Data_Centres_Multi[[Rating Type]:[Rating Type]]="IT Equipment",0%,tbl_Data_Centres_Multi[[Diesel (%)]:[Diesel (%)]])/tbl_Data_Centres_Multi[[CFdiesel]:[CFdiesel]],0)</f>
        <v>#N/A</v>
      </c>
      <c r="DT4" s="44" t="e">
        <f>ROUNDDOWN(tbl_Data_Centres_Multi[[#This Row],[4.0* Max Energy (MJ)]]*IF(tbl_Data_Centres_Multi[[Rating Type]:[Rating Type]]="IT Equipment",0%,tbl_Data_Centres_Multi[[Diesel (%)]:[Diesel (%)]])/tbl_Data_Centres_Multi[[CFdiesel]:[CFdiesel]],0)</f>
        <v>#N/A</v>
      </c>
      <c r="DU4" s="44" t="e">
        <f>ROUNDDOWN(tbl_Data_Centres_Multi[[#This Row],[3.5* Max Energy (MJ)]]*IF(tbl_Data_Centres_Multi[[Rating Type]:[Rating Type]]="IT Equipment",0%,tbl_Data_Centres_Multi[[Diesel (%)]:[Diesel (%)]])/tbl_Data_Centres_Multi[[CFdiesel]:[CFdiesel]],0)</f>
        <v>#N/A</v>
      </c>
      <c r="DV4" s="44" t="e">
        <f>ROUNDDOWN(tbl_Data_Centres_Multi[[#This Row],[3.0* Max Energy (MJ)]]*IF(tbl_Data_Centres_Multi[[Rating Type]:[Rating Type]]="IT Equipment",0%,tbl_Data_Centres_Multi[[Diesel (%)]:[Diesel (%)]])/tbl_Data_Centres_Multi[[CFdiesel]:[CFdiesel]],0)</f>
        <v>#N/A</v>
      </c>
      <c r="DW4" s="44" t="e">
        <f>ROUNDDOWN(tbl_Data_Centres_Multi[[#This Row],[2.5* Max Energy (MJ)]]*IF(tbl_Data_Centres_Multi[[Rating Type]:[Rating Type]]="IT Equipment",0%,tbl_Data_Centres_Multi[[Diesel (%)]:[Diesel (%)]])/tbl_Data_Centres_Multi[[CFdiesel]:[CFdiesel]],0)</f>
        <v>#N/A</v>
      </c>
      <c r="DX4" s="44" t="e">
        <f>ROUNDDOWN(tbl_Data_Centres_Multi[[#This Row],[2.0* Max Energy (MJ)]]*IF(tbl_Data_Centres_Multi[[Rating Type]:[Rating Type]]="IT Equipment",0%,tbl_Data_Centres_Multi[[Diesel (%)]:[Diesel (%)]])/tbl_Data_Centres_Multi[[CFdiesel]:[CFdiesel]],0)</f>
        <v>#N/A</v>
      </c>
      <c r="DY4" s="44" t="e">
        <f>ROUNDDOWN(tbl_Data_Centres_Multi[[#This Row],[1.5* Max Energy (MJ)]]*IF(tbl_Data_Centres_Multi[[Rating Type]:[Rating Type]]="IT Equipment",0%,tbl_Data_Centres_Multi[[Diesel (%)]:[Diesel (%)]])/tbl_Data_Centres_Multi[[CFdiesel]:[CFdiesel]],0)</f>
        <v>#N/A</v>
      </c>
      <c r="DZ4" s="44" t="e">
        <f>ROUNDDOWN(tbl_Data_Centres_Multi[[#This Row],[1.0* Max Energy (MJ)]]*IF(tbl_Data_Centres_Multi[[Rating Type]:[Rating Type]]="IT Equipment",0%,tbl_Data_Centres_Multi[[Diesel (%)]:[Diesel (%)]])/tbl_Data_Centres_Multi[[CFdiesel]:[CFdiesel]],0)</f>
        <v>#N/A</v>
      </c>
      <c r="EA4" s="44" t="e">
        <f>ROUNDDOWN(tbl_Data_Centres_Multi[[#This Row],[0.0* Max Energy (MJ)]]*IF(tbl_Data_Centres_Multi[[Rating Type]:[Rating Type]]="IT Equipment",0%,tbl_Data_Centres_Multi[[Diesel (%)]:[Diesel (%)]])/tbl_Data_Centres_Multi[[CFdiesel]:[CFdiesel]],0)</f>
        <v>#N/A</v>
      </c>
      <c r="EB4" s="44" t="e">
        <f>SUM(tbl_Data_Centres_Multi[[#This Row],[Electricity]]*(1-tbl_Data_Centres_Multi[[#This Row],[GP]])*tbl_Data_Centres_Multi[[#This Row],[SGEe Scopes 1,2&amp;3]],
tbl_Data_Centres_Multi[[#This Row],[Diesel]]*tbl_Data_Centres_Multi[[#This Row],[SGEd Scopes 1,2&amp;3]])</f>
        <v>#N/A</v>
      </c>
      <c r="EC4" s="44" t="e">
        <f>SUM(tbl_Data_Centres_Multi[[#This Row],[Electricity]]*(1-tbl_Data_Centres_Multi[[#This Row],[GP]])*tbl_Data_Centres_Multi[[#This Row],[SGEe Scopes 1&amp;2]],
tbl_Data_Centres_Multi[[#This Row],[Diesel]]*tbl_Data_Centres_Multi[[#This Row],[SGEd Scopes 1&amp;2]])</f>
        <v>#N/A</v>
      </c>
      <c r="ED4" s="45" t="e">
        <f>IF(tbl_Data_Centres_Multi[[#This Row],[Energy Star Decimal (with GP)]]&lt;1,0,MIN(ROUNDDOWN(tbl_Data_Centres_Multi[[#This Row],[Energy Star Decimal (with GP)]]*2,0)/2,6))</f>
        <v>#N/A</v>
      </c>
      <c r="EE4" s="45" t="e">
        <f>tbl_Data_Centres_Multi[[#This Row],[R (with GP)]]+Data_Centre_C_FWD_Star_Band_Residual_Adjustment</f>
        <v>#N/A</v>
      </c>
      <c r="EF4" s="45" t="e">
        <f>IF(tbl_Data_Centres_Multi[[#This Row],[Energy Star Decimal (no GP)]]&lt;1,0,MIN(ROUNDDOWN(tbl_Data_Centres_Multi[[#This Row],[Energy Star Decimal (no GP)]]*2,0)/2,6))</f>
        <v>#N/A</v>
      </c>
      <c r="EG4" s="45" t="e">
        <f>tbl_Data_Centres_Multi[[#This Row],[R (no GP)]]+Data_Centre_C_FWD_Star_Band_Residual_Adjustment</f>
        <v>#N/A</v>
      </c>
      <c r="EH4" s="45" t="e">
        <f>Data_Centre_C_Median_Performance-tbl_Data_Centres_Multi[[#This Row],[Rating Band Coefficient]]*tbl_Data_Centres_Multi[[#This Row],[p (with GP)]]</f>
        <v>#N/A</v>
      </c>
      <c r="EI4" s="45" t="e">
        <f>Data_Centre_C_Median_Performance-tbl_Data_Centres_Multi[[#This Row],[Rating Band Coefficient]]*tbl_Data_Centres_Multi[[#This Row],[p (no GP)]]</f>
        <v>#N/A</v>
      </c>
      <c r="EJ4" s="45" t="e">
        <f>IF(tbl_Data_Centres_Multi[[#This Row],[Rating Type]]="IT Equipment",tbl_Data_Centres_Multi[[#This Row],[Electricity]]*(1-tbl_Data_Centres_Multi[[#This Row],[GP]])*tbl_Data_Centres_Multi[[#This Row],[SGEe]]*(365/tbl_Data_Centres_Multi[[#This Row],[Rating Period]]),
SUM(tbl_Data_Centres_Multi[[#This Row],[Electricity]]*(1-tbl_Data_Centres_Multi[[#This Row],[GP]])*tbl_Data_Centres_Multi[[#This Row],[SGEe]],
tbl_Data_Centres_Multi[[#This Row],[Diesel]]*tbl_Data_Centres_Multi[[#This Row],[SGEd]]))</f>
        <v>#N/A</v>
      </c>
      <c r="EK4" s="45" t="e">
        <f>IF(tbl_Data_Centres_Multi[[#This Row],[Rating Type]]="IT Equipment",tbl_Data_Centres_Multi[[#This Row],[Electricity]]*tbl_Data_Centres_Multi[[#This Row],[SGEe]]*(365/tbl_Data_Centres_Multi[[#This Row],[Rating Period]]),
SUM(tbl_Data_Centres_Multi[[#This Row],[Electricity]]*tbl_Data_Centres_Multi[[#This Row],[SGEe]],
tbl_Data_Centres_Multi[[#This Row],[Diesel]]*tbl_Data_Centres_Multi[[#This Row],[SGEd]]))</f>
        <v>#N/A</v>
      </c>
      <c r="EL4" s="45" t="e">
        <f>(tbl_Data_Centres_Multi[[#This Row],[e (with GP)]]-tbl_Data_Centres_Multi[[#This Row],[er]])/tbl_Data_Centres_Multi[[#This Row],[er]]</f>
        <v>#N/A</v>
      </c>
      <c r="EM4" s="45" t="e">
        <f>(tbl_Data_Centres_Multi[[#This Row],[e (no GP)]]-tbl_Data_Centres_Multi[[#This Row],[er]])/tbl_Data_Centres_Multi[[#This Row],[er]]</f>
        <v>#N/A</v>
      </c>
    </row>
    <row r="5" spans="1:143" ht="16.5" customHeight="1">
      <c r="A5" s="484">
        <v>1.7</v>
      </c>
      <c r="B5" s="485" t="s">
        <v>718</v>
      </c>
      <c r="C5" s="485">
        <v>1001</v>
      </c>
      <c r="D5" s="488">
        <v>0</v>
      </c>
      <c r="E5" s="488">
        <v>0</v>
      </c>
      <c r="F5" s="485">
        <v>0</v>
      </c>
      <c r="G5" s="565">
        <v>0.91</v>
      </c>
      <c r="H5" s="488">
        <v>3762537.6</v>
      </c>
      <c r="I5" s="487">
        <v>0.95</v>
      </c>
      <c r="J5" s="487">
        <v>0.05</v>
      </c>
      <c r="K5" s="126">
        <f>tbl_Data_Centres_Multi[[#This Row],[Target Residual (p)]]</f>
        <v>0.51495016611295685</v>
      </c>
      <c r="L5" s="42">
        <f>tbl_Data_Centres_Multi[[#This Row],[er]]</f>
        <v>2732132.7906616274</v>
      </c>
      <c r="M5" s="42">
        <f>IF(tbl_Data_Centres_Multi[[#This Row],[Rating Type]]="IT Equipment",tbl_Data_Centres_Multi[[#This Row],[Target Rating Period Max IT CO2 ]],tbl_Data_Centres_Multi[[#This Row],[Target Max CO2]])</f>
        <v>4139045.025055489</v>
      </c>
      <c r="N5" s="42">
        <f>tbl_Data_Centres_Multi[[#This Row],[Target Scopes 1,2&amp;3]]</f>
        <v>3957901.2477199999</v>
      </c>
      <c r="O5" s="42">
        <f>tbl_Data_Centres_Multi[[#This Row],[Target Scopes 1&amp;2]]</f>
        <v>3637811.7758800001</v>
      </c>
      <c r="P5" s="42">
        <f>IF(tbl_Data_Centres_Multi[[#This Row],[Rating Type]]="IT Equipment",tbl_Data_Centres_Multi[[#This Row],[Target Rating Period Max IT Elec (kWh)]],tbl_Data_Centres_Multi[[#This Row],[Target Max Elec (kWh)]])</f>
        <v>4528579</v>
      </c>
      <c r="Q5" s="42">
        <f>tbl_Data_Centres_Multi[[#This Row],[Target Max Diesel (L)]]</f>
        <v>22229</v>
      </c>
      <c r="R5" s="566">
        <v>857096</v>
      </c>
      <c r="S5" s="566">
        <v>7993</v>
      </c>
      <c r="T5" s="43">
        <v>0</v>
      </c>
      <c r="U5" s="45" t="str">
        <f>INDEX(tbl_Climate_Lookup[],MATCH(tbl_Data_Centres_Multi[[Postcode]:[Postcode]],tbl_Climate_Lookup[[Postcode]:[Postcode]],0),MATCH(tbl_Data_Centres_Multi[[#Headers],[State]],tbl_Climate_Lookup[#Headers],0))</f>
        <v>NSW</v>
      </c>
      <c r="V5" s="45">
        <f>INDEX(tbl_Climate_Lookup[],MATCH(tbl_Data_Centres_Multi[[Postcode]:[Postcode]],tbl_Climate_Lookup[[Postcode]:[Postcode]],0),MATCH(tbl_Data_Centres_Multi[[#Headers],[Climate zone]],tbl_Climate_Lookup[#Headers],0))</f>
        <v>63</v>
      </c>
      <c r="W5" s="169">
        <f>INDEX(tbl_Climate_Lookup[],MATCH(tbl_Data_Centres_Multi[[Postcode]:[Postcode]],tbl_Climate_Lookup[[Postcode]:[Postcode]],0),MATCH(tbl_Data_Centres_Multi[[#Headers],[HDD]],tbl_Climate_Lookup[#Headers],0))</f>
        <v>642</v>
      </c>
      <c r="X5" s="169">
        <f>INDEX(tbl_Climate_Lookup[],MATCH(tbl_Data_Centres_Multi[[Postcode]:[Postcode]],tbl_Climate_Lookup[[Postcode]:[Postcode]],0),MATCH(tbl_Data_Centres_Multi[[#Headers],[CDD]],tbl_Climate_Lookup[#Headers],0))</f>
        <v>541</v>
      </c>
      <c r="Y5" s="45">
        <f>INDEX(tbl_SGE_2020[],MATCH(tbl_Data_Centres_Multi[[State]:[State]],tbl_SGE_2020[[State]:[State]],0),MATCH(tbl_Data_Centres_Multi[[#Headers],[SGEe]],tbl_SGE_2020[#Headers],0))</f>
        <v>0.9</v>
      </c>
      <c r="Z5" s="45">
        <f>INDEX(tbl_SGE_2020[],MATCH(tbl_Data_Centres_Multi[[State]:[State]],tbl_SGE_2020[[State]:[State]],0),MATCH(tbl_Data_Centres_Multi[[#Headers],[SGEg]],tbl_SGE_2020[#Headers],0))</f>
        <v>6.4630000000000007E-2</v>
      </c>
      <c r="AA5" s="45">
        <f>INDEX(tbl_SGE_2020[],MATCH(tbl_Data_Centres_Multi[[State]:[State]],tbl_SGE_2020[[State]:[State]],0),MATCH(tbl_Data_Centres_Multi[[#Headers],[SGEd]],tbl_SGE_2020[#Headers],0))</f>
        <v>2.8486799999999999</v>
      </c>
      <c r="AB5" s="45">
        <f>INDEX(tbl_Conversion_Factors[[Conversion Factors]:[Conversion Factors]],MATCH(tbl_Apartment_Multi[[#Headers],[CFelec]],tbl_Conversion_Factors[[Reference]:[Reference]],0))</f>
        <v>3.6</v>
      </c>
      <c r="AC5" s="45">
        <f>INDEX(tbl_Conversion_Factors[[Conversion Factors]:[Conversion Factors]],MATCH(tbl_Apartment_Multi[[#Headers],[CFdiesel]],tbl_Conversion_Factors[[Reference]:[Reference]],0))</f>
        <v>38.6</v>
      </c>
      <c r="AD5" s="45">
        <f>tbl_Data_Centres_Multi[[#This Row],[SGEe]]/tbl_Data_Centres_Multi[[#This Row],[CFelec]]</f>
        <v>0.25</v>
      </c>
      <c r="AE5" s="45">
        <f>tbl_Data_Centres_Multi[[#This Row],[SGEd]]/tbl_Data_Centres_Multi[[#This Row],[CFdiesel]]</f>
        <v>7.3799999999999991E-2</v>
      </c>
      <c r="AF5" s="46">
        <f>IF(tbl_Data_Centres_Multi[[#This Row],[Rating Type]]="IT Equipment",
tbl_Data_Centres_Multi[[#This Row],[SGEeMJ]],
IF(SUM(tbl_Data_Centres_Multi[[#This Row],[Electricity (%)]:[Diesel (%)]])=1,
SUM(tbl_Data_Centres_Multi[[#This Row],[Electricity (%)]]*tbl_Data_Centres_Multi[[#This Row],[SGEeMJ]],
tbl_Data_Centres_Multi[[#This Row],[Diesel (%)]]*tbl_Data_Centres_Multi[[#This Row],[SGEdMJ]]),
0))</f>
        <v>0.24118999999999999</v>
      </c>
      <c r="AG5" s="46">
        <f>INDEX(tbl_NGA_Factors_2021[],MATCH(tbl_Data_Centres_Multi[[State]:[State]],tbl_NGA_Factors_2021[[State]:[State]],0),MATCH(tbl_Data_Centres_Multi[[#Headers],[SGEe Scopes 1,2&amp;3]],tbl_NGA_Factors_2021[#Headers],0))</f>
        <v>0.86</v>
      </c>
      <c r="AH5" s="46">
        <f>INDEX(tbl_NGA_Factors_2021[],MATCH(tbl_Data_Centres_Multi[[State]:[State]],tbl_NGA_Factors_2021[[State]:[State]],0),MATCH(tbl_Data_Centres_Multi[[#Headers],[SGEg Scopes 1,2&amp;3]],tbl_NGA_Factors_2021[#Headers],0))</f>
        <v>6.4630000000000007E-2</v>
      </c>
      <c r="AI5" s="46">
        <f>INDEX(tbl_NGA_Factors_2021[],MATCH(tbl_Data_Centres_Multi[[State]:[State]],tbl_NGA_Factors_2021[[State]:[State]],0),MATCH(tbl_Data_Centres_Multi[[#Headers],[SGEd Scopes 1,2&amp;3]],tbl_NGA_Factors_2021[#Headers],0))</f>
        <v>2.8486799999999999</v>
      </c>
      <c r="AJ5" s="46">
        <f>INDEX(tbl_NGA_Factors_2021[],MATCH(tbl_Data_Centres_Multi[[State]:[State]],tbl_NGA_Factors_2021[[State]:[State]],0),MATCH(tbl_Data_Centres_Multi[[#Headers],[SGEe Scopes 1&amp;2]],tbl_NGA_Factors_2021[#Headers],0))</f>
        <v>0.79</v>
      </c>
      <c r="AK5" s="46">
        <f>INDEX(tbl_NGA_Factors_2021[],MATCH(tbl_Data_Centres_Multi[[State]:[State]],tbl_NGA_Factors_2021[[State]:[State]],0),MATCH(tbl_Data_Centres_Multi[[#Headers],[SGEg Scopes 1&amp;2]],tbl_NGA_Factors_2021[#Headers],0))</f>
        <v>5.1529999999999999E-2</v>
      </c>
      <c r="AL5" s="46">
        <f>INDEX(tbl_NGA_Factors_2021[],MATCH(tbl_Data_Centres_Multi[[State]:[State]],tbl_NGA_Factors_2021[[State]:[State]],0),MATCH(tbl_Data_Centres_Multi[[#Headers],[SGEd Scopes 1&amp;2]],tbl_NGA_Factors_2021[#Headers],0))</f>
        <v>2.7097199999999999</v>
      </c>
      <c r="AM5" s="169">
        <f>IF(tbl_Data_Centres_Multi[[#This Row],[Rating Type]]="IT Equipment",(tbl_Data_Centres_Multi[[#This Row],[Pcapacity]]*Data_Centre_C_Processing+tbl_Data_Centres_Multi[[#This Row],[Scapacity]]*Data_Centre_C_Storage)*tbl_Data_Centres_Multi[[#This Row],[SGEe]]*Data_Centre_C_IT_Median_Residual_Correction,
IF(tbl_Data_Centres_Multi[[#This Row],[Rating Type]]="Infrastructure",(Data_Centre_C_Infrastructure_Median_Emissions_Index-1)*tbl_Data_Centres_Multi[[#This Row],[EIT(Inf)]]+tbl_Data_Centres_Multi[[#This Row],[Climate Correction Infrastructure]]-tbl_Data_Centres_Multi[[#This Row],[Condenser Water Correction for Infrastructure]],Data_Centre_C_Infrastructure_Median_Emissions_Index*tbl_Data_Centres_Multi[[#This Row],[eIT(IT)]]+tbl_Data_Centres_Multi[[#This Row],[Climate Correction Whole Facility]]-tbl_Data_Centres_Multi[[#This Row],[Condenser Water Correction for Whole Facility]]))</f>
        <v>2732132.7906616274</v>
      </c>
      <c r="AN5" s="567">
        <f>tbl_Data_Centres_Multi[[#This Row],[Assessable IT Energy]]*tbl_Data_Centres_Multi[[#This Row],[SGEe]]</f>
        <v>3386283.8400000003</v>
      </c>
      <c r="AO5" s="567">
        <f>SUM(tbl_Data_Centres_Multi[[#This Row],[Pcapacity]]*Data_Centre_C_Processing,tbl_Data_Centres_Multi[[#This Row],[Scapacity]]*Data_Centre_C_Storage)*Data_Centre_C_IT_Median_Residual_Correction</f>
        <v>0</v>
      </c>
      <c r="AP5" s="567">
        <f>SUM(tbl_Data_Centres_Multi[[#This Row],[Pcapacity]]*Data_Centre_C_Processing,tbl_Data_Centres_Multi[[#This Row],[Scapacity]]*Data_Centre_C_Storage)*tbl_Data_Centres_Multi[[#This Row],[SGEe]]*Data_Centre_C_IT_Median_Residual_Correction</f>
        <v>0</v>
      </c>
      <c r="AQ5" s="567">
        <f>Data_Centre_C_Infrastructure_Median_Emissions_Index*tbl_Data_Centres_Multi[[#This Row],[EIT(Inf)]]*tbl_Data_Centres_Multi[[#This Row],[%HRMetered]]/Data_Centre_C_Ave_CRAC_Performance*Data_Centre_C_CRAC_Increase_Per_DEG*(tbl_Data_Centres_Multi[[#This Row],[CDD]]-Data_Centre_C_Average_Sample_CDD)/365</f>
        <v>11307.905763066743</v>
      </c>
      <c r="AR5" s="567">
        <f>Data_Centre_C_Heat_Rejection_Plant_Per_Heat_Rejected*Data_Centre_C_Infrastructure_Median_Emissions_Index*tbl_Data_Centres_Multi[[#This Row],[EIT(Inf)]]*(1-tbl_Data_Centres_Multi[[#This Row],[%HRMetered]])</f>
        <v>22065.025501439995</v>
      </c>
      <c r="AS5" s="567">
        <f>Data_Centre_C_Infrastructure_Median_Emissions_Index*tbl_Data_Centres_Multi[[#This Row],[eIT(IT)]]*tbl_Data_Centres_Multi[[#This Row],[%HRMetered]]/Data_Centre_C_Ave_CRAC_Performance*Data_Centre_C_CRAC_Increase_Per_DEG*(tbl_Data_Centres_Multi[[#This Row],[CDD]]-Data_Centre_C_Average_Sample_CDD)/365</f>
        <v>0</v>
      </c>
      <c r="AT5" s="567">
        <f>Data_Centre_C_Heat_Rejection_Plant_Per_Heat_Rejected*Data_Centre_C_Infrastructure_Median_Emissions_Index*tbl_Data_Centres_Multi[[#This Row],[eIT(IT)]]*(1-tbl_Data_Centres_Multi[[#This Row],[%HRMetered]])</f>
        <v>0</v>
      </c>
      <c r="AU5" s="45">
        <f>IF(tbl_Data_Centres_Multi[[#This Row],[Rating Type]]="IT Equipment",Data_Centre_C_IT_Workload,
IF(tbl_Data_Centres_Multi[[#This Row],[Rating Type]]="Infrastructure",Data_Centre_C_Infrastructure,
Data_Centre_C_WholeFacility))</f>
        <v>3.01</v>
      </c>
      <c r="AV5" s="48">
        <f>(tbl_Data_Centres_Multi[[#This Row],[Target Energy]]-Data_Centre_C_Reverse_Star_Band_Residual_Adjustment-Data_Centre_C_Median_Performance)/-(tbl_Data_Centres_Multi[[#This Row],[Rating Band Coefficient]])</f>
        <v>0.51495016611295685</v>
      </c>
      <c r="AW5" s="44">
        <f>tbl_Data_Centres_Multi[[#This Row],[er]]*(tbl_Data_Centres_Multi[[#This Row],[Target Residual (p)]]+1)</f>
        <v>4139045.025055489</v>
      </c>
      <c r="AX5" s="44">
        <f>tbl_Data_Centres_Multi[[#This Row],[Target Max CO2]]/tbl_Data_Centres_Multi[[#This Row],[EffGHG]]</f>
        <v>17160931.319936521</v>
      </c>
      <c r="AY5" s="44">
        <f>ROUNDDOWN(tbl_Data_Centres_Multi[[#This Row],[Target Max Energy (MJ)]]*IF(tbl_Data_Centres_Multi[[#This Row],[Rating Type]]="IT Equipment",100%,tbl_Data_Centres_Multi[[#This Row],[Electricity (%)]])/tbl_Data_Centres_Multi[[#This Row],[CFelec]],0)</f>
        <v>4528579</v>
      </c>
      <c r="AZ5" s="44">
        <f>ROUNDDOWN(tbl_Data_Centres_Multi[[#This Row],[Target Max Energy (MJ)]]*IF(tbl_Data_Centres_Multi[[#This Row],[Rating Type]]="IT Equipment",0%,tbl_Data_Centres_Multi[Diesel (%)])/tbl_Data_Centres_Multi[[#This Row],[CFdiesel]],0)</f>
        <v>22229</v>
      </c>
      <c r="BA5" s="44">
        <f>IF(tbl_Data_Centres_Multi[[#This Row],[Rating Type]]="IT Equipment",tbl_Data_Centres_Multi[[#This Row],[Target Rating Period Max IT Elec (kWh)]]*tbl_Data_Centres_Multi[[#This Row],[SGEe Scopes 1,2&amp;3]],
SUM(tbl_Data_Centres_Multi[[#This Row],[Target Max Elec (kWh)]]*tbl_Data_Centres_Multi[[#This Row],[SGEe Scopes 1,2&amp;3]],
tbl_Data_Centres_Multi[[#This Row],[Target Max Diesel (L)]]*tbl_Data_Centres_Multi[[#This Row],[SGEd Scopes 1,2&amp;3]]))</f>
        <v>3957901.2477199999</v>
      </c>
      <c r="BB5" s="44">
        <f>IF(tbl_Data_Centres_Multi[[#This Row],[Rating Type]]="IT Equipment",tbl_Data_Centres_Multi[[#This Row],[Target Rating Period Max IT Elec (kWh)]]*tbl_Data_Centres_Multi[[#This Row],[SGEe Scopes 1&amp;2]],
SUM(tbl_Data_Centres_Multi[[#This Row],[Target Max Elec (kWh)]]*tbl_Data_Centres_Multi[[#This Row],[SGEe Scopes 1&amp;2]],
tbl_Data_Centres_Multi[[#This Row],[Target Max Diesel (L)]]*tbl_Data_Centres_Multi[[#This Row],[SGEd Scopes 1&amp;2]]))</f>
        <v>3637811.7758800001</v>
      </c>
      <c r="BC5" s="296">
        <f>IF(tbl_Data_Centres_Multi[[#This Row],[Rating Type]]="Infrastructure",1+tbl_Data_Centres_Multi[[#This Row],[Target Max Elec (kWh)]]/tbl_Data_Centres_Multi[[#This Row],[Assessable IT Energy]],
IF(tbl_Data_Centres_Multi[[#This Row],[Rating Type]]="Whole Facility",tbl_Data_Centres_Multi[[#This Row],[Target Max Elec (kWh)]]/tbl_Data_Centres_Multi[[#This Row],[EITkWhBenchmark]],
0))</f>
        <v>2.2035970085720873</v>
      </c>
      <c r="BD5" s="44">
        <f>tbl_Data_Centres_Multi[[#This Row],[Target Max CO2]]/365</f>
        <v>11339.849383713668</v>
      </c>
      <c r="BE5" s="44">
        <f>tbl_Data_Centres_Multi[[#This Row],[Max Daily IT Emissions at Target]]*tbl_Data_Centres_Multi[[#This Row],[Rating Period]]</f>
        <v>0</v>
      </c>
      <c r="BF5" s="44">
        <f>ROUNDDOWN(tbl_Data_Centres_Multi[[#This Row],[Target Rating Period Max IT CO2 ]]/tbl_Data_Centres_Multi[[#This Row],[SGEe]],0)</f>
        <v>0</v>
      </c>
      <c r="BG5" s="47">
        <f>tbl_Data_Centres_Multi[[#This Row],[Max Daily IT Emissions at Target]]/tbl_Data_Centres_Multi[[#This Row],[SGEe]]</f>
        <v>12599.832648570742</v>
      </c>
      <c r="BH5" s="36">
        <f>(LEFT(tbl_Data_Centres_Multi[[#Headers],[6.0* Max Residual]],3)-Data_Centre_C_Reverse_Star_Band_Residual_Adjustment-Data_Centre_C_Median_Performance)/-tbl_Data_Centres_Multi[[Rating Band Coefficient]:[Rating Band Coefficient]]</f>
        <v>-0.91362126245847186</v>
      </c>
      <c r="BI5" s="36">
        <f>(LEFT(tbl_Data_Centres_Multi[[#Headers],[5.5* Max Residual]],3)-Data_Centre_C_Reverse_Star_Band_Residual_Adjustment-Data_Centre_C_Median_Performance)/-tbl_Data_Centres_Multi[[Rating Band Coefficient]:[Rating Band Coefficient]]</f>
        <v>-0.74750830564784054</v>
      </c>
      <c r="BJ5" s="36">
        <f>(LEFT(tbl_Data_Centres_Multi[[#Headers],[5.0* Max Residual]],3)-Data_Centre_C_Reverse_Star_Band_Residual_Adjustment-Data_Centre_C_Median_Performance)/-tbl_Data_Centres_Multi[[Rating Band Coefficient]:[Rating Band Coefficient]]</f>
        <v>-0.58139534883720934</v>
      </c>
      <c r="BK5" s="36">
        <f>(LEFT(tbl_Data_Centres_Multi[[#Headers],[4.5* Max Residual]],3)-Data_Centre_C_Reverse_Star_Band_Residual_Adjustment-Data_Centre_C_Median_Performance)/-tbl_Data_Centres_Multi[[Rating Band Coefficient]:[Rating Band Coefficient]]</f>
        <v>-0.41528239202657813</v>
      </c>
      <c r="BL5" s="36">
        <f>(LEFT(tbl_Data_Centres_Multi[[#Headers],[4.0* Max Residual]],3)-Data_Centre_C_Reverse_Star_Band_Residual_Adjustment-Data_Centre_C_Median_Performance)/-tbl_Data_Centres_Multi[[Rating Band Coefficient]:[Rating Band Coefficient]]</f>
        <v>-0.24916943521594687</v>
      </c>
      <c r="BM5" s="36">
        <f>(LEFT(tbl_Data_Centres_Multi[[#Headers],[3.5* Max Residual]],3)-Data_Centre_C_Reverse_Star_Band_Residual_Adjustment-Data_Centre_C_Median_Performance)/-tbl_Data_Centres_Multi[[Rating Band Coefficient]:[Rating Band Coefficient]]</f>
        <v>-8.3056478405315617E-2</v>
      </c>
      <c r="BN5" s="36">
        <f>(LEFT(tbl_Data_Centres_Multi[[#Headers],[3.0* Max Residual]],3)-Data_Centre_C_Reverse_Star_Band_Residual_Adjustment-Data_Centre_C_Median_Performance)/-tbl_Data_Centres_Multi[[Rating Band Coefficient]:[Rating Band Coefficient]]</f>
        <v>8.3056478405315617E-2</v>
      </c>
      <c r="BO5" s="36">
        <f>(LEFT(tbl_Data_Centres_Multi[[#Headers],[2.5* Max Residual]],3)-Data_Centre_C_Reverse_Star_Band_Residual_Adjustment-Data_Centre_C_Median_Performance)/-tbl_Data_Centres_Multi[[Rating Band Coefficient]:[Rating Band Coefficient]]</f>
        <v>0.24916943521594687</v>
      </c>
      <c r="BP5" s="36">
        <f>(LEFT(tbl_Data_Centres_Multi[[#Headers],[2.0* Max Residual]],3)-Data_Centre_C_Reverse_Star_Band_Residual_Adjustment-Data_Centre_C_Median_Performance)/-tbl_Data_Centres_Multi[[Rating Band Coefficient]:[Rating Band Coefficient]]</f>
        <v>0.41528239202657813</v>
      </c>
      <c r="BQ5" s="36">
        <f>(LEFT(tbl_Data_Centres_Multi[[#Headers],[1.5* Max Residual]],3)-Data_Centre_C_Reverse_Star_Band_Residual_Adjustment-Data_Centre_C_Median_Performance)/-tbl_Data_Centres_Multi[[Rating Band Coefficient]:[Rating Band Coefficient]]</f>
        <v>0.58139534883720934</v>
      </c>
      <c r="BR5" s="36">
        <f>(LEFT(tbl_Data_Centres_Multi[[#Headers],[1.0* Max Residual]],3)-Data_Centre_C_Reverse_Star_Band_Residual_Adjustment-Data_Centre_C_Median_Performance)/-tbl_Data_Centres_Multi[[Rating Band Coefficient]:[Rating Band Coefficient]]</f>
        <v>0.74750830564784054</v>
      </c>
      <c r="BS5" s="36">
        <f>(LEFT(tbl_Data_Centres_Multi[[#Headers],[0.0* Max Residual]],3)-Data_Centre_C_Reverse_Star_Band_Residual_Adjustment-Data_Centre_C_Median_Performance)/-tbl_Data_Centres_Multi[[Rating Band Coefficient]:[Rating Band Coefficient]]</f>
        <v>1.0797342192691031</v>
      </c>
      <c r="BT5" s="36">
        <f>tbl_Data_Centres_Multi[[er]:[er]]*(tbl_Data_Centres_Multi[[#This Row],[6.0* Max Residual]]+1)</f>
        <v>235998.18125316355</v>
      </c>
      <c r="BU5" s="36">
        <f>tbl_Data_Centres_Multi[[er]:[er]]*(tbl_Data_Centres_Multi[[#This Row],[5.5* Max Residual]]+1)</f>
        <v>689840.83750924806</v>
      </c>
      <c r="BV5" s="36">
        <f>tbl_Data_Centres_Multi[[er]:[er]]*(tbl_Data_Centres_Multi[[#This Row],[5.0* Max Residual]]+1)</f>
        <v>1143683.4937653323</v>
      </c>
      <c r="BW5" s="36">
        <f>tbl_Data_Centres_Multi[[er]:[er]]*(tbl_Data_Centres_Multi[[#This Row],[4.5* Max Residual]]+1)</f>
        <v>1597526.1500214166</v>
      </c>
      <c r="BX5" s="36">
        <f>tbl_Data_Centres_Multi[[er]:[er]]*(tbl_Data_Centres_Multi[[#This Row],[4.0* Max Residual]]+1)</f>
        <v>2051368.8062775012</v>
      </c>
      <c r="BY5" s="36">
        <f>tbl_Data_Centres_Multi[[er]:[er]]*(tbl_Data_Centres_Multi[[#This Row],[3.5* Max Residual]]+1)</f>
        <v>2505211.4625335853</v>
      </c>
      <c r="BZ5" s="36">
        <f>tbl_Data_Centres_Multi[[er]:[er]]*(tbl_Data_Centres_Multi[[#This Row],[3.0* Max Residual]]+1)</f>
        <v>2959054.1187896696</v>
      </c>
      <c r="CA5" s="36">
        <f>tbl_Data_Centres_Multi[[er]:[er]]*(tbl_Data_Centres_Multi[[#This Row],[2.5* Max Residual]]+1)</f>
        <v>3412896.7750457539</v>
      </c>
      <c r="CB5" s="36">
        <f>tbl_Data_Centres_Multi[[er]:[er]]*(tbl_Data_Centres_Multi[[#This Row],[2.0* Max Residual]]+1)</f>
        <v>3866739.4313018387</v>
      </c>
      <c r="CC5" s="36">
        <f>tbl_Data_Centres_Multi[[er]:[er]]*(tbl_Data_Centres_Multi[[#This Row],[1.5* Max Residual]]+1)</f>
        <v>4320582.087557923</v>
      </c>
      <c r="CD5" s="36">
        <f>tbl_Data_Centres_Multi[[er]:[er]]*(tbl_Data_Centres_Multi[[#This Row],[1.0* Max Residual]]+1)</f>
        <v>4774424.7438140074</v>
      </c>
      <c r="CE5" s="36">
        <f>tbl_Data_Centres_Multi[[er]:[er]]*(tbl_Data_Centres_Multi[[#This Row],[0.0* Max Residual]]+1)</f>
        <v>5682110.0563261751</v>
      </c>
      <c r="CF5" s="44">
        <f>tbl_Data_Centres_Multi[[er]:[er]]*(tbl_Data_Centres_Multi[[#This Row],[6.0* Max Residual]]+1)</f>
        <v>235998.18125316355</v>
      </c>
      <c r="CG5" s="44">
        <f>tbl_Data_Centres_Multi[[er]:[er]]*(tbl_Data_Centres_Multi[[#This Row],[5.5* Max Residual]]+1)</f>
        <v>689840.83750924806</v>
      </c>
      <c r="CH5" s="44">
        <f>tbl_Data_Centres_Multi[[er]:[er]]*(tbl_Data_Centres_Multi[[#This Row],[5.0* Max Residual]]+1)</f>
        <v>1143683.4937653323</v>
      </c>
      <c r="CI5" s="44">
        <f>tbl_Data_Centres_Multi[[er]:[er]]*(tbl_Data_Centres_Multi[[#This Row],[4.5* Max Residual]]+1)</f>
        <v>1597526.1500214166</v>
      </c>
      <c r="CJ5" s="44">
        <f>tbl_Data_Centres_Multi[[er]:[er]]*(tbl_Data_Centres_Multi[[#This Row],[4.0* Max Residual]]+1)</f>
        <v>2051368.8062775012</v>
      </c>
      <c r="CK5" s="44">
        <f>tbl_Data_Centres_Multi[[er]:[er]]*(tbl_Data_Centres_Multi[[#This Row],[3.5* Max Residual]]+1)</f>
        <v>2505211.4625335853</v>
      </c>
      <c r="CL5" s="44">
        <f>tbl_Data_Centres_Multi[[er]:[er]]*(tbl_Data_Centres_Multi[[#This Row],[3.0* Max Residual]]+1)</f>
        <v>2959054.1187896696</v>
      </c>
      <c r="CM5" s="44">
        <f>tbl_Data_Centres_Multi[[er]:[er]]*(tbl_Data_Centres_Multi[[#This Row],[2.5* Max Residual]]+1)</f>
        <v>3412896.7750457539</v>
      </c>
      <c r="CN5" s="44">
        <f>tbl_Data_Centres_Multi[[er]:[er]]*(tbl_Data_Centres_Multi[[#This Row],[2.0* Max Residual]]+1)</f>
        <v>3866739.4313018387</v>
      </c>
      <c r="CO5" s="44">
        <f>tbl_Data_Centres_Multi[[er]:[er]]*(tbl_Data_Centres_Multi[[#This Row],[1.5* Max Residual]]+1)</f>
        <v>4320582.087557923</v>
      </c>
      <c r="CP5" s="44">
        <f>tbl_Data_Centres_Multi[[er]:[er]]*(tbl_Data_Centres_Multi[[#This Row],[1.0* Max Residual]]+1)</f>
        <v>4774424.7438140074</v>
      </c>
      <c r="CQ5" s="44">
        <f>tbl_Data_Centres_Multi[[er]:[er]]*(tbl_Data_Centres_Multi[[#This Row],[0.0* Max Residual]]+1)</f>
        <v>5682110.0563261751</v>
      </c>
      <c r="CR5" s="44">
        <f>tbl_Data_Centres_Multi[[#This Row],[6.0* Max CO2]]/IF(tbl_Data_Centres_Multi[[Rating Type]:[Rating Type]]="IT Equipment",tbl_Data_Centres_Multi[[SGEe]:[SGEe]],tbl_Data_Centres_Multi[[EffGHG]:[EffGHG]])</f>
        <v>978474.15420690563</v>
      </c>
      <c r="CS5" s="44">
        <f>tbl_Data_Centres_Multi[[#This Row],[5.5* Max CO2]]/IF(tbl_Data_Centres_Multi[[Rating Type]:[Rating Type]]="IT Equipment",tbl_Data_Centres_Multi[[SGEe]:[SGEe]],tbl_Data_Centres_Multi[[EffGHG]:[EffGHG]])</f>
        <v>2860155.2199894194</v>
      </c>
      <c r="CT5" s="44">
        <f>tbl_Data_Centres_Multi[[#This Row],[5.0* Max CO2]]/IF(tbl_Data_Centres_Multi[[Rating Type]:[Rating Type]]="IT Equipment",tbl_Data_Centres_Multi[[SGEe]:[SGEe]],tbl_Data_Centres_Multi[[EffGHG]:[EffGHG]])</f>
        <v>4741836.2857719325</v>
      </c>
      <c r="CU5" s="44">
        <f>tbl_Data_Centres_Multi[[#This Row],[4.5* Max CO2]]/IF(tbl_Data_Centres_Multi[[Rating Type]:[Rating Type]]="IT Equipment",tbl_Data_Centres_Multi[[SGEe]:[SGEe]],tbl_Data_Centres_Multi[[EffGHG]:[EffGHG]])</f>
        <v>6623517.351554445</v>
      </c>
      <c r="CV5" s="44">
        <f>tbl_Data_Centres_Multi[[#This Row],[4.0* Max CO2]]/IF(tbl_Data_Centres_Multi[[Rating Type]:[Rating Type]]="IT Equipment",tbl_Data_Centres_Multi[[SGEe]:[SGEe]],tbl_Data_Centres_Multi[[EffGHG]:[EffGHG]])</f>
        <v>8505198.4173369594</v>
      </c>
      <c r="CW5" s="44">
        <f>tbl_Data_Centres_Multi[[#This Row],[3.5* Max CO2]]/IF(tbl_Data_Centres_Multi[[Rating Type]:[Rating Type]]="IT Equipment",tbl_Data_Centres_Multi[[SGEe]:[SGEe]],tbl_Data_Centres_Multi[[EffGHG]:[EffGHG]])</f>
        <v>10386879.483119471</v>
      </c>
      <c r="CX5" s="44">
        <f>tbl_Data_Centres_Multi[[#This Row],[3.0* Max CO2]]/IF(tbl_Data_Centres_Multi[[Rating Type]:[Rating Type]]="IT Equipment",tbl_Data_Centres_Multi[[SGEe]:[SGEe]],tbl_Data_Centres_Multi[[EffGHG]:[EffGHG]])</f>
        <v>12268560.548901984</v>
      </c>
      <c r="CY5" s="44">
        <f>tbl_Data_Centres_Multi[[#This Row],[2.5* Max CO2]]/IF(tbl_Data_Centres_Multi[[Rating Type]:[Rating Type]]="IT Equipment",tbl_Data_Centres_Multi[[SGEe]:[SGEe]],tbl_Data_Centres_Multi[[EffGHG]:[EffGHG]])</f>
        <v>14150241.614684498</v>
      </c>
      <c r="CZ5" s="44">
        <f>tbl_Data_Centres_Multi[[#This Row],[2.0* Max CO2]]/IF(tbl_Data_Centres_Multi[[Rating Type]:[Rating Type]]="IT Equipment",tbl_Data_Centres_Multi[[SGEe]:[SGEe]],tbl_Data_Centres_Multi[[EffGHG]:[EffGHG]])</f>
        <v>16031922.680467013</v>
      </c>
      <c r="DA5" s="44">
        <f>tbl_Data_Centres_Multi[[#This Row],[1.5* Max CO2]]/IF(tbl_Data_Centres_Multi[[Rating Type]:[Rating Type]]="IT Equipment",tbl_Data_Centres_Multi[[SGEe]:[SGEe]],tbl_Data_Centres_Multi[[EffGHG]:[EffGHG]])</f>
        <v>17913603.746249527</v>
      </c>
      <c r="DB5" s="44">
        <f>tbl_Data_Centres_Multi[[#This Row],[1.0* Max CO2]]/IF(tbl_Data_Centres_Multi[[Rating Type]:[Rating Type]]="IT Equipment",tbl_Data_Centres_Multi[[SGEe]:[SGEe]],tbl_Data_Centres_Multi[[EffGHG]:[EffGHG]])</f>
        <v>19795284.81203204</v>
      </c>
      <c r="DC5" s="44">
        <f>tbl_Data_Centres_Multi[[#This Row],[0.0* Max CO2]]/IF(tbl_Data_Centres_Multi[[Rating Type]:[Rating Type]]="IT Equipment",tbl_Data_Centres_Multi[[SGEe]:[SGEe]],tbl_Data_Centres_Multi[[EffGHG]:[EffGHG]])</f>
        <v>23558646.943597063</v>
      </c>
      <c r="DD5" s="44">
        <f>ROUNDDOWN(tbl_Data_Centres_Multi[[#This Row],[6.0* Max Energy (MJ)]]*IF(tbl_Data_Centres_Multi[[Rating Type]:[Rating Type]]="IT Equipment",100%,tbl_Data_Centres_Multi[[Electricity (%)]:[Electricity (%)]])/tbl_Data_Centres_Multi[[CFelec]:[CFelec]],0)</f>
        <v>258208</v>
      </c>
      <c r="DE5" s="44">
        <f>ROUNDDOWN(tbl_Data_Centres_Multi[[#This Row],[5.5* Max Energy (MJ)]]*IF(tbl_Data_Centres_Multi[[Rating Type]:[Rating Type]]="IT Equipment",100%,tbl_Data_Centres_Multi[[Electricity (%)]:[Electricity (%)]])/tbl_Data_Centres_Multi[[CFelec]:[CFelec]],0)</f>
        <v>754763</v>
      </c>
      <c r="DF5" s="44">
        <f>ROUNDDOWN(tbl_Data_Centres_Multi[[#This Row],[5.0* Max Energy (MJ)]]*IF(tbl_Data_Centres_Multi[[Rating Type]:[Rating Type]]="IT Equipment",100%,tbl_Data_Centres_Multi[[Electricity (%)]:[Electricity (%)]])/tbl_Data_Centres_Multi[[CFelec]:[CFelec]],0)</f>
        <v>1251317</v>
      </c>
      <c r="DG5" s="44">
        <f>ROUNDDOWN(tbl_Data_Centres_Multi[[#This Row],[4.5* Max Energy (MJ)]]*IF(tbl_Data_Centres_Multi[[Rating Type]:[Rating Type]]="IT Equipment",100%,tbl_Data_Centres_Multi[[Electricity (%)]:[Electricity (%)]])/tbl_Data_Centres_Multi[[CFelec]:[CFelec]],0)</f>
        <v>1747872</v>
      </c>
      <c r="DH5" s="44">
        <f>ROUNDDOWN(tbl_Data_Centres_Multi[[#This Row],[4.0* Max Energy (MJ)]]*IF(tbl_Data_Centres_Multi[[Rating Type]:[Rating Type]]="IT Equipment",100%,tbl_Data_Centres_Multi[[Electricity (%)]:[Electricity (%)]])/tbl_Data_Centres_Multi[[CFelec]:[CFelec]],0)</f>
        <v>2244427</v>
      </c>
      <c r="DI5" s="44">
        <f>ROUNDDOWN(tbl_Data_Centres_Multi[[#This Row],[3.5* Max Energy (MJ)]]*IF(tbl_Data_Centres_Multi[[Rating Type]:[Rating Type]]="IT Equipment",100%,tbl_Data_Centres_Multi[[Electricity (%)]:[Electricity (%)]])/tbl_Data_Centres_Multi[[CFelec]:[CFelec]],0)</f>
        <v>2740982</v>
      </c>
      <c r="DJ5" s="44">
        <f>ROUNDDOWN(tbl_Data_Centres_Multi[[#This Row],[3.0* Max Energy (MJ)]]*IF(tbl_Data_Centres_Multi[[Rating Type]:[Rating Type]]="IT Equipment",100%,tbl_Data_Centres_Multi[[Electricity (%)]:[Electricity (%)]])/tbl_Data_Centres_Multi[[CFelec]:[CFelec]],0)</f>
        <v>3237536</v>
      </c>
      <c r="DK5" s="44">
        <f>ROUNDDOWN(tbl_Data_Centres_Multi[[#This Row],[2.5* Max Energy (MJ)]]*IF(tbl_Data_Centres_Multi[[Rating Type]:[Rating Type]]="IT Equipment",100%,tbl_Data_Centres_Multi[[Electricity (%)]:[Electricity (%)]])/tbl_Data_Centres_Multi[[CFelec]:[CFelec]],0)</f>
        <v>3734091</v>
      </c>
      <c r="DL5" s="44">
        <f>ROUNDDOWN(tbl_Data_Centres_Multi[[#This Row],[2.0* Max Energy (MJ)]]*IF(tbl_Data_Centres_Multi[[Rating Type]:[Rating Type]]="IT Equipment",100%,tbl_Data_Centres_Multi[[Electricity (%)]:[Electricity (%)]])/tbl_Data_Centres_Multi[[CFelec]:[CFelec]],0)</f>
        <v>4230646</v>
      </c>
      <c r="DM5" s="44">
        <f>ROUNDDOWN(tbl_Data_Centres_Multi[[#This Row],[1.5* Max Energy (MJ)]]*IF(tbl_Data_Centres_Multi[[Rating Type]:[Rating Type]]="IT Equipment",100%,tbl_Data_Centres_Multi[[Electricity (%)]:[Electricity (%)]])/tbl_Data_Centres_Multi[[CFelec]:[CFelec]],0)</f>
        <v>4727200</v>
      </c>
      <c r="DN5" s="44">
        <f>ROUNDDOWN(tbl_Data_Centres_Multi[[#This Row],[1.0* Max Energy (MJ)]]*IF(tbl_Data_Centres_Multi[[Rating Type]:[Rating Type]]="IT Equipment",100%,tbl_Data_Centres_Multi[[Electricity (%)]:[Electricity (%)]])/tbl_Data_Centres_Multi[[CFelec]:[CFelec]],0)</f>
        <v>5223755</v>
      </c>
      <c r="DO5" s="44">
        <f>ROUNDDOWN(tbl_Data_Centres_Multi[[#This Row],[0.0* Max Energy (MJ)]]*IF(tbl_Data_Centres_Multi[[Rating Type]:[Rating Type]]="IT Equipment",100%,tbl_Data_Centres_Multi[[Electricity (%)]:[Electricity (%)]])/tbl_Data_Centres_Multi[[CFelec]:[CFelec]],0)</f>
        <v>6216865</v>
      </c>
      <c r="DP5" s="44">
        <f>ROUNDDOWN(tbl_Data_Centres_Multi[[#This Row],[6.0* Max Energy (MJ)]]*IF(tbl_Data_Centres_Multi[[Rating Type]:[Rating Type]]="IT Equipment",0%,tbl_Data_Centres_Multi[[Diesel (%)]:[Diesel (%)]])/tbl_Data_Centres_Multi[[CFdiesel]:[CFdiesel]],0)</f>
        <v>1267</v>
      </c>
      <c r="DQ5" s="44">
        <f>ROUNDDOWN(tbl_Data_Centres_Multi[[#This Row],[5.5* Max Energy (MJ)]]*IF(tbl_Data_Centres_Multi[[Rating Type]:[Rating Type]]="IT Equipment",0%,tbl_Data_Centres_Multi[[Diesel (%)]:[Diesel (%)]])/tbl_Data_Centres_Multi[[CFdiesel]:[CFdiesel]],0)</f>
        <v>3704</v>
      </c>
      <c r="DR5" s="44">
        <f>ROUNDDOWN(tbl_Data_Centres_Multi[[#This Row],[5.0* Max Energy (MJ)]]*IF(tbl_Data_Centres_Multi[[Rating Type]:[Rating Type]]="IT Equipment",0%,tbl_Data_Centres_Multi[[Diesel (%)]:[Diesel (%)]])/tbl_Data_Centres_Multi[[CFdiesel]:[CFdiesel]],0)</f>
        <v>6142</v>
      </c>
      <c r="DS5" s="44">
        <f>ROUNDDOWN(tbl_Data_Centres_Multi[[#This Row],[4.5* Max Energy (MJ)]]*IF(tbl_Data_Centres_Multi[[Rating Type]:[Rating Type]]="IT Equipment",0%,tbl_Data_Centres_Multi[[Diesel (%)]:[Diesel (%)]])/tbl_Data_Centres_Multi[[CFdiesel]:[CFdiesel]],0)</f>
        <v>8579</v>
      </c>
      <c r="DT5" s="44">
        <f>ROUNDDOWN(tbl_Data_Centres_Multi[[#This Row],[4.0* Max Energy (MJ)]]*IF(tbl_Data_Centres_Multi[[Rating Type]:[Rating Type]]="IT Equipment",0%,tbl_Data_Centres_Multi[[Diesel (%)]:[Diesel (%)]])/tbl_Data_Centres_Multi[[CFdiesel]:[CFdiesel]],0)</f>
        <v>11017</v>
      </c>
      <c r="DU5" s="44">
        <f>ROUNDDOWN(tbl_Data_Centres_Multi[[#This Row],[3.5* Max Energy (MJ)]]*IF(tbl_Data_Centres_Multi[[Rating Type]:[Rating Type]]="IT Equipment",0%,tbl_Data_Centres_Multi[[Diesel (%)]:[Diesel (%)]])/tbl_Data_Centres_Multi[[CFdiesel]:[CFdiesel]],0)</f>
        <v>13454</v>
      </c>
      <c r="DV5" s="44">
        <f>ROUNDDOWN(tbl_Data_Centres_Multi[[#This Row],[3.0* Max Energy (MJ)]]*IF(tbl_Data_Centres_Multi[[Rating Type]:[Rating Type]]="IT Equipment",0%,tbl_Data_Centres_Multi[[Diesel (%)]:[Diesel (%)]])/tbl_Data_Centres_Multi[[CFdiesel]:[CFdiesel]],0)</f>
        <v>15891</v>
      </c>
      <c r="DW5" s="44">
        <f>ROUNDDOWN(tbl_Data_Centres_Multi[[#This Row],[2.5* Max Energy (MJ)]]*IF(tbl_Data_Centres_Multi[[Rating Type]:[Rating Type]]="IT Equipment",0%,tbl_Data_Centres_Multi[[Diesel (%)]:[Diesel (%)]])/tbl_Data_Centres_Multi[[CFdiesel]:[CFdiesel]],0)</f>
        <v>18329</v>
      </c>
      <c r="DX5" s="44">
        <f>ROUNDDOWN(tbl_Data_Centres_Multi[[#This Row],[2.0* Max Energy (MJ)]]*IF(tbl_Data_Centres_Multi[[Rating Type]:[Rating Type]]="IT Equipment",0%,tbl_Data_Centres_Multi[[Diesel (%)]:[Diesel (%)]])/tbl_Data_Centres_Multi[[CFdiesel]:[CFdiesel]],0)</f>
        <v>20766</v>
      </c>
      <c r="DY5" s="44">
        <f>ROUNDDOWN(tbl_Data_Centres_Multi[[#This Row],[1.5* Max Energy (MJ)]]*IF(tbl_Data_Centres_Multi[[Rating Type]:[Rating Type]]="IT Equipment",0%,tbl_Data_Centres_Multi[[Diesel (%)]:[Diesel (%)]])/tbl_Data_Centres_Multi[[CFdiesel]:[CFdiesel]],0)</f>
        <v>23204</v>
      </c>
      <c r="DZ5" s="44">
        <f>ROUNDDOWN(tbl_Data_Centres_Multi[[#This Row],[1.0* Max Energy (MJ)]]*IF(tbl_Data_Centres_Multi[[Rating Type]:[Rating Type]]="IT Equipment",0%,tbl_Data_Centres_Multi[[Diesel (%)]:[Diesel (%)]])/tbl_Data_Centres_Multi[[CFdiesel]:[CFdiesel]],0)</f>
        <v>25641</v>
      </c>
      <c r="EA5" s="44">
        <f>ROUNDDOWN(tbl_Data_Centres_Multi[[#This Row],[0.0* Max Energy (MJ)]]*IF(tbl_Data_Centres_Multi[[Rating Type]:[Rating Type]]="IT Equipment",0%,tbl_Data_Centres_Multi[[Diesel (%)]:[Diesel (%)]])/tbl_Data_Centres_Multi[[CFdiesel]:[CFdiesel]],0)</f>
        <v>30516</v>
      </c>
      <c r="EB5" s="44">
        <f>SUM(tbl_Data_Centres_Multi[[#This Row],[Electricity]]*(1-tbl_Data_Centres_Multi[[#This Row],[GP]])*tbl_Data_Centres_Multi[[#This Row],[SGEe Scopes 1,2&amp;3]],
tbl_Data_Centres_Multi[[#This Row],[Diesel]]*tbl_Data_Centres_Multi[[#This Row],[SGEd Scopes 1,2&amp;3]])</f>
        <v>759872.05923999997</v>
      </c>
      <c r="EC5" s="44">
        <f>SUM(tbl_Data_Centres_Multi[[#This Row],[Electricity]]*(1-tbl_Data_Centres_Multi[[#This Row],[GP]])*tbl_Data_Centres_Multi[[#This Row],[SGEe Scopes 1&amp;2]],
tbl_Data_Centres_Multi[[#This Row],[Diesel]]*tbl_Data_Centres_Multi[[#This Row],[SGEd Scopes 1&amp;2]])</f>
        <v>698764.63196000003</v>
      </c>
      <c r="ED5" s="45">
        <f>IF(tbl_Data_Centres_Multi[[#This Row],[Energy Star Decimal (with GP)]]&lt;1,0,MIN(ROUNDDOWN(tbl_Data_Centres_Multi[[#This Row],[Energy Star Decimal (with GP)]]*2,0)/2,6))</f>
        <v>5</v>
      </c>
      <c r="EE5" s="45">
        <f>tbl_Data_Centres_Multi[[#This Row],[R (with GP)]]+Data_Centre_C_FWD_Star_Band_Residual_Adjustment</f>
        <v>5.3850757412367471</v>
      </c>
      <c r="EF5" s="45">
        <f>IF(tbl_Data_Centres_Multi[[#This Row],[Energy Star Decimal (no GP)]]&lt;1,0,MIN(ROUNDDOWN(tbl_Data_Centres_Multi[[#This Row],[Energy Star Decimal (no GP)]]*2,0)/2,6))</f>
        <v>5</v>
      </c>
      <c r="EG5" s="45">
        <f>tbl_Data_Centres_Multi[[#This Row],[R (no GP)]]+Data_Centre_C_FWD_Star_Band_Residual_Adjustment</f>
        <v>5.3850757412367471</v>
      </c>
      <c r="EH5" s="45">
        <f>Data_Centre_C_Median_Performance-tbl_Data_Centres_Multi[[#This Row],[Rating Band Coefficient]]*tbl_Data_Centres_Multi[[#This Row],[p (with GP)]]</f>
        <v>4.8850757412367471</v>
      </c>
      <c r="EI5" s="45">
        <f>Data_Centre_C_Median_Performance-tbl_Data_Centres_Multi[[#This Row],[Rating Band Coefficient]]*tbl_Data_Centres_Multi[[#This Row],[p (no GP)]]</f>
        <v>4.8850757412367471</v>
      </c>
      <c r="EJ5" s="45">
        <f>IF(tbl_Data_Centres_Multi[[#This Row],[Rating Type]]="IT Equipment",tbl_Data_Centres_Multi[[#This Row],[Electricity]]*(1-tbl_Data_Centres_Multi[[#This Row],[GP]])*tbl_Data_Centres_Multi[[#This Row],[SGEe]]*(365/tbl_Data_Centres_Multi[[#This Row],[Rating Period]]),
SUM(tbl_Data_Centres_Multi[[#This Row],[Electricity]]*(1-tbl_Data_Centres_Multi[[#This Row],[GP]])*tbl_Data_Centres_Multi[[#This Row],[SGEe]],
tbl_Data_Centres_Multi[[#This Row],[Diesel]]*tbl_Data_Centres_Multi[[#This Row],[SGEd]]))</f>
        <v>794155.89924000006</v>
      </c>
      <c r="EK5" s="45">
        <f>IF(tbl_Data_Centres_Multi[[#This Row],[Rating Type]]="IT Equipment",tbl_Data_Centres_Multi[[#This Row],[Electricity]]*tbl_Data_Centres_Multi[[#This Row],[SGEe]]*(365/tbl_Data_Centres_Multi[[#This Row],[Rating Period]]),
SUM(tbl_Data_Centres_Multi[[#This Row],[Electricity]]*tbl_Data_Centres_Multi[[#This Row],[SGEe]],
tbl_Data_Centres_Multi[[#This Row],[Diesel]]*tbl_Data_Centres_Multi[[#This Row],[SGEd]]))</f>
        <v>794155.89924000006</v>
      </c>
      <c r="EL5" s="45">
        <f>(tbl_Data_Centres_Multi[[#This Row],[e (with GP)]]-tbl_Data_Centres_Multi[[#This Row],[er]])/tbl_Data_Centres_Multi[[#This Row],[er]]</f>
        <v>-0.70932748878297258</v>
      </c>
      <c r="EM5" s="45">
        <f>(tbl_Data_Centres_Multi[[#This Row],[e (no GP)]]-tbl_Data_Centres_Multi[[#This Row],[er]])/tbl_Data_Centres_Multi[[#This Row],[er]]</f>
        <v>-0.70932748878297258</v>
      </c>
    </row>
    <row r="6" spans="1:143" ht="16.5" customHeight="1">
      <c r="A6" s="484">
        <v>3.7</v>
      </c>
      <c r="B6" s="485" t="s">
        <v>719</v>
      </c>
      <c r="C6" s="485">
        <v>2580</v>
      </c>
      <c r="D6" s="488">
        <v>14523.4</v>
      </c>
      <c r="E6" s="488">
        <v>48498.1</v>
      </c>
      <c r="F6" s="485">
        <v>40</v>
      </c>
      <c r="G6" s="565">
        <v>0</v>
      </c>
      <c r="H6" s="488">
        <v>0</v>
      </c>
      <c r="I6" s="487">
        <v>1</v>
      </c>
      <c r="J6" s="487">
        <v>0</v>
      </c>
      <c r="K6" s="126">
        <f>tbl_Data_Centres_Multi[[#This Row],[Target Residual (p)]]</f>
        <v>-0.13846153846153852</v>
      </c>
      <c r="L6" s="42">
        <f>tbl_Data_Centres_Multi[[#This Row],[er]]</f>
        <v>22983712.048799999</v>
      </c>
      <c r="M6" s="42">
        <f>IF(tbl_Data_Centres_Multi[[#This Row],[Rating Type]]="IT Equipment",tbl_Data_Centres_Multi[[#This Row],[Target Rating Period Max IT CO2 ]],tbl_Data_Centres_Multi[[#This Row],[Target Max CO2]])</f>
        <v>2170011.1692017699</v>
      </c>
      <c r="N6" s="42">
        <f>tbl_Data_Centres_Multi[[#This Row],[Target Scopes 1,2&amp;3]]</f>
        <v>2073565.78</v>
      </c>
      <c r="O6" s="42">
        <f>tbl_Data_Centres_Multi[[#This Row],[Target Scopes 1&amp;2]]</f>
        <v>1904787.1700000002</v>
      </c>
      <c r="P6" s="42">
        <f>IF(tbl_Data_Centres_Multi[[#This Row],[Rating Type]]="IT Equipment",tbl_Data_Centres_Multi[[#This Row],[Target Rating Period Max IT Elec (kWh)]],tbl_Data_Centres_Multi[[#This Row],[Target Max Elec (kWh)]])</f>
        <v>2411123</v>
      </c>
      <c r="Q6" s="42">
        <f>tbl_Data_Centres_Multi[[#This Row],[Target Max Diesel (L)]]</f>
        <v>0</v>
      </c>
      <c r="R6" s="566">
        <v>416979</v>
      </c>
      <c r="S6" s="566">
        <v>3888</v>
      </c>
      <c r="T6" s="43">
        <v>0</v>
      </c>
      <c r="U6" s="45" t="str">
        <f>INDEX(tbl_Climate_Lookup[],MATCH(tbl_Data_Centres_Multi[[Postcode]:[Postcode]],tbl_Climate_Lookup[[Postcode]:[Postcode]],0),MATCH(tbl_Data_Centres_Multi[[#Headers],[State]],tbl_Climate_Lookup[#Headers],0))</f>
        <v>NSW</v>
      </c>
      <c r="V6" s="45">
        <f>INDEX(tbl_Climate_Lookup[],MATCH(tbl_Data_Centres_Multi[[Postcode]:[Postcode]],tbl_Climate_Lookup[[Postcode]:[Postcode]],0),MATCH(tbl_Data_Centres_Multi[[#Headers],[Climate zone]],tbl_Climate_Lookup[#Headers],0))</f>
        <v>64</v>
      </c>
      <c r="W6" s="169">
        <f>INDEX(tbl_Climate_Lookup[],MATCH(tbl_Data_Centres_Multi[[Postcode]:[Postcode]],tbl_Climate_Lookup[[Postcode]:[Postcode]],0),MATCH(tbl_Data_Centres_Multi[[#Headers],[HDD]],tbl_Climate_Lookup[#Headers],0))</f>
        <v>2186</v>
      </c>
      <c r="X6" s="169">
        <f>INDEX(tbl_Climate_Lookup[],MATCH(tbl_Data_Centres_Multi[[Postcode]:[Postcode]],tbl_Climate_Lookup[[Postcode]:[Postcode]],0),MATCH(tbl_Data_Centres_Multi[[#Headers],[CDD]],tbl_Climate_Lookup[#Headers],0))</f>
        <v>80</v>
      </c>
      <c r="Y6" s="45">
        <f>INDEX(tbl_SGE_2020[],MATCH(tbl_Data_Centres_Multi[[State]:[State]],tbl_SGE_2020[[State]:[State]],0),MATCH(tbl_Data_Centres_Multi[[#Headers],[SGEe]],tbl_SGE_2020[#Headers],0))</f>
        <v>0.9</v>
      </c>
      <c r="Z6" s="45">
        <f>INDEX(tbl_SGE_2020[],MATCH(tbl_Data_Centres_Multi[[State]:[State]],tbl_SGE_2020[[State]:[State]],0),MATCH(tbl_Data_Centres_Multi[[#Headers],[SGEg]],tbl_SGE_2020[#Headers],0))</f>
        <v>6.4630000000000007E-2</v>
      </c>
      <c r="AA6" s="45">
        <f>INDEX(tbl_SGE_2020[],MATCH(tbl_Data_Centres_Multi[[State]:[State]],tbl_SGE_2020[[State]:[State]],0),MATCH(tbl_Data_Centres_Multi[[#Headers],[SGEd]],tbl_SGE_2020[#Headers],0))</f>
        <v>2.8486799999999999</v>
      </c>
      <c r="AB6" s="45">
        <f>INDEX(tbl_Conversion_Factors[[Conversion Factors]:[Conversion Factors]],MATCH(tbl_Apartment_Multi[[#Headers],[CFelec]],tbl_Conversion_Factors[[Reference]:[Reference]],0))</f>
        <v>3.6</v>
      </c>
      <c r="AC6" s="45">
        <f>INDEX(tbl_Conversion_Factors[[Conversion Factors]:[Conversion Factors]],MATCH(tbl_Apartment_Multi[[#Headers],[CFdiesel]],tbl_Conversion_Factors[[Reference]:[Reference]],0))</f>
        <v>38.6</v>
      </c>
      <c r="AD6" s="45">
        <f>tbl_Data_Centres_Multi[[#This Row],[SGEe]]/tbl_Data_Centres_Multi[[#This Row],[CFelec]]</f>
        <v>0.25</v>
      </c>
      <c r="AE6" s="45">
        <f>tbl_Data_Centres_Multi[[#This Row],[SGEd]]/tbl_Data_Centres_Multi[[#This Row],[CFdiesel]]</f>
        <v>7.3799999999999991E-2</v>
      </c>
      <c r="AF6" s="46">
        <f>IF(tbl_Data_Centres_Multi[[#This Row],[Rating Type]]="IT Equipment",
tbl_Data_Centres_Multi[[#This Row],[SGEeMJ]],
IF(SUM(tbl_Data_Centres_Multi[[#This Row],[Electricity (%)]:[Diesel (%)]])=1,
SUM(tbl_Data_Centres_Multi[[#This Row],[Electricity (%)]]*tbl_Data_Centres_Multi[[#This Row],[SGEeMJ]],
tbl_Data_Centres_Multi[[#This Row],[Diesel (%)]]*tbl_Data_Centres_Multi[[#This Row],[SGEdMJ]]),
0))</f>
        <v>0.25</v>
      </c>
      <c r="AG6" s="46">
        <f>INDEX(tbl_NGA_Factors_2021[],MATCH(tbl_Data_Centres_Multi[[State]:[State]],tbl_NGA_Factors_2021[[State]:[State]],0),MATCH(tbl_Data_Centres_Multi[[#Headers],[SGEe Scopes 1,2&amp;3]],tbl_NGA_Factors_2021[#Headers],0))</f>
        <v>0.86</v>
      </c>
      <c r="AH6" s="46">
        <f>INDEX(tbl_NGA_Factors_2021[],MATCH(tbl_Data_Centres_Multi[[State]:[State]],tbl_NGA_Factors_2021[[State]:[State]],0),MATCH(tbl_Data_Centres_Multi[[#Headers],[SGEg Scopes 1,2&amp;3]],tbl_NGA_Factors_2021[#Headers],0))</f>
        <v>6.4630000000000007E-2</v>
      </c>
      <c r="AI6" s="46">
        <f>INDEX(tbl_NGA_Factors_2021[],MATCH(tbl_Data_Centres_Multi[[State]:[State]],tbl_NGA_Factors_2021[[State]:[State]],0),MATCH(tbl_Data_Centres_Multi[[#Headers],[SGEd Scopes 1,2&amp;3]],tbl_NGA_Factors_2021[#Headers],0))</f>
        <v>2.8486799999999999</v>
      </c>
      <c r="AJ6" s="46">
        <f>INDEX(tbl_NGA_Factors_2021[],MATCH(tbl_Data_Centres_Multi[[State]:[State]],tbl_NGA_Factors_2021[[State]:[State]],0),MATCH(tbl_Data_Centres_Multi[[#Headers],[SGEe Scopes 1&amp;2]],tbl_NGA_Factors_2021[#Headers],0))</f>
        <v>0.79</v>
      </c>
      <c r="AK6" s="46">
        <f>INDEX(tbl_NGA_Factors_2021[],MATCH(tbl_Data_Centres_Multi[[State]:[State]],tbl_NGA_Factors_2021[[State]:[State]],0),MATCH(tbl_Data_Centres_Multi[[#Headers],[SGEg Scopes 1&amp;2]],tbl_NGA_Factors_2021[#Headers],0))</f>
        <v>5.1529999999999999E-2</v>
      </c>
      <c r="AL6" s="46">
        <f>INDEX(tbl_NGA_Factors_2021[],MATCH(tbl_Data_Centres_Multi[[State]:[State]],tbl_NGA_Factors_2021[[State]:[State]],0),MATCH(tbl_Data_Centres_Multi[[#Headers],[SGEd Scopes 1&amp;2]],tbl_NGA_Factors_2021[#Headers],0))</f>
        <v>2.7097199999999999</v>
      </c>
      <c r="AM6" s="169">
        <f>IF(tbl_Data_Centres_Multi[[#This Row],[Rating Type]]="IT Equipment",(tbl_Data_Centres_Multi[[#This Row],[Pcapacity]]*Data_Centre_C_Processing+tbl_Data_Centres_Multi[[#This Row],[Scapacity]]*Data_Centre_C_Storage)*tbl_Data_Centres_Multi[[#This Row],[SGEe]]*Data_Centre_C_IT_Median_Residual_Correction,
IF(tbl_Data_Centres_Multi[[#This Row],[Rating Type]]="Infrastructure",(Data_Centre_C_Infrastructure_Median_Emissions_Index-1)*tbl_Data_Centres_Multi[[#This Row],[EIT(Inf)]]+tbl_Data_Centres_Multi[[#This Row],[Climate Correction Infrastructure]]-tbl_Data_Centres_Multi[[#This Row],[Condenser Water Correction for Infrastructure]],Data_Centre_C_Infrastructure_Median_Emissions_Index*tbl_Data_Centres_Multi[[#This Row],[eIT(IT)]]+tbl_Data_Centres_Multi[[#This Row],[Climate Correction Whole Facility]]-tbl_Data_Centres_Multi[[#This Row],[Condenser Water Correction for Whole Facility]]))</f>
        <v>22983712.048799999</v>
      </c>
      <c r="AN6" s="567">
        <f>tbl_Data_Centres_Multi[[#This Row],[Assessable IT Energy]]*tbl_Data_Centres_Multi[[#This Row],[SGEe]]</f>
        <v>0</v>
      </c>
      <c r="AO6" s="567">
        <f>SUM(tbl_Data_Centres_Multi[[#This Row],[Pcapacity]]*Data_Centre_C_Processing,tbl_Data_Centres_Multi[[#This Row],[Scapacity]]*Data_Centre_C_Storage)*Data_Centre_C_IT_Median_Residual_Correction</f>
        <v>25537457.831999999</v>
      </c>
      <c r="AP6" s="567">
        <f>SUM(tbl_Data_Centres_Multi[[#This Row],[Pcapacity]]*Data_Centre_C_Processing,tbl_Data_Centres_Multi[[#This Row],[Scapacity]]*Data_Centre_C_Storage)*tbl_Data_Centres_Multi[[#This Row],[SGEe]]*Data_Centre_C_IT_Median_Residual_Correction</f>
        <v>22983712.048799999</v>
      </c>
      <c r="AQ6" s="567">
        <f>Data_Centre_C_Infrastructure_Median_Emissions_Index*tbl_Data_Centres_Multi[[#This Row],[EIT(Inf)]]*tbl_Data_Centres_Multi[[#This Row],[%HRMetered]]/Data_Centre_C_Ave_CRAC_Performance*Data_Centre_C_CRAC_Increase_Per_DEG*(tbl_Data_Centres_Multi[[#This Row],[CDD]]-Data_Centre_C_Average_Sample_CDD)/365</f>
        <v>0</v>
      </c>
      <c r="AR6" s="567">
        <f>Data_Centre_C_Heat_Rejection_Plant_Per_Heat_Rejected*Data_Centre_C_Infrastructure_Median_Emissions_Index*tbl_Data_Centres_Multi[[#This Row],[EIT(Inf)]]*(1-tbl_Data_Centres_Multi[[#This Row],[%HRMetered]])</f>
        <v>0</v>
      </c>
      <c r="AS6" s="567">
        <f>Data_Centre_C_Infrastructure_Median_Emissions_Index*tbl_Data_Centres_Multi[[#This Row],[eIT(IT)]]*tbl_Data_Centres_Multi[[#This Row],[%HRMetered]]/Data_Centre_C_Ave_CRAC_Performance*Data_Centre_C_CRAC_Increase_Per_DEG*(tbl_Data_Centres_Multi[[#This Row],[CDD]]-Data_Centre_C_Average_Sample_CDD)/365</f>
        <v>0</v>
      </c>
      <c r="AT6" s="567">
        <f>Data_Centre_C_Heat_Rejection_Plant_Per_Heat_Rejected*Data_Centre_C_Infrastructure_Median_Emissions_Index*tbl_Data_Centres_Multi[[#This Row],[eIT(IT)]]*(1-tbl_Data_Centres_Multi[[#This Row],[%HRMetered]])</f>
        <v>1664020.75233312</v>
      </c>
      <c r="AU6" s="45">
        <f>IF(tbl_Data_Centres_Multi[[#This Row],[Rating Type]]="IT Equipment",Data_Centre_C_IT_Workload,
IF(tbl_Data_Centres_Multi[[#This Row],[Rating Type]]="Infrastructure",Data_Centre_C_Infrastructure,
Data_Centre_C_WholeFacility))</f>
        <v>3.25</v>
      </c>
      <c r="AV6" s="48">
        <f>(tbl_Data_Centres_Multi[[#This Row],[Target Energy]]-Data_Centre_C_Reverse_Star_Band_Residual_Adjustment-Data_Centre_C_Median_Performance)/-(tbl_Data_Centres_Multi[[#This Row],[Rating Band Coefficient]])</f>
        <v>-0.13846153846153852</v>
      </c>
      <c r="AW6" s="44">
        <f>tbl_Data_Centres_Multi[[#This Row],[er]]*(tbl_Data_Centres_Multi[[#This Row],[Target Residual (p)]]+1)</f>
        <v>19801351.918966152</v>
      </c>
      <c r="AX6" s="44">
        <f>tbl_Data_Centres_Multi[[#This Row],[Target Max CO2]]/tbl_Data_Centres_Multi[[#This Row],[EffGHG]]</f>
        <v>79205407.675864607</v>
      </c>
      <c r="AY6" s="44">
        <f>ROUNDDOWN(tbl_Data_Centres_Multi[[#This Row],[Target Max Energy (MJ)]]*IF(tbl_Data_Centres_Multi[[#This Row],[Rating Type]]="IT Equipment",100%,tbl_Data_Centres_Multi[[#This Row],[Electricity (%)]])/tbl_Data_Centres_Multi[[#This Row],[CFelec]],0)</f>
        <v>22001502</v>
      </c>
      <c r="AZ6" s="44">
        <f>ROUNDDOWN(tbl_Data_Centres_Multi[[#This Row],[Target Max Energy (MJ)]]*IF(tbl_Data_Centres_Multi[[#This Row],[Rating Type]]="IT Equipment",0%,tbl_Data_Centres_Multi[Diesel (%)])/tbl_Data_Centres_Multi[[#This Row],[CFdiesel]],0)</f>
        <v>0</v>
      </c>
      <c r="BA6" s="44">
        <f>IF(tbl_Data_Centres_Multi[[#This Row],[Rating Type]]="IT Equipment",tbl_Data_Centres_Multi[[#This Row],[Target Rating Period Max IT Elec (kWh)]]*tbl_Data_Centres_Multi[[#This Row],[SGEe Scopes 1,2&amp;3]],
SUM(tbl_Data_Centres_Multi[[#This Row],[Target Max Elec (kWh)]]*tbl_Data_Centres_Multi[[#This Row],[SGEe Scopes 1,2&amp;3]],
tbl_Data_Centres_Multi[[#This Row],[Target Max Diesel (L)]]*tbl_Data_Centres_Multi[[#This Row],[SGEd Scopes 1,2&amp;3]]))</f>
        <v>2073565.78</v>
      </c>
      <c r="BB6" s="44">
        <f>IF(tbl_Data_Centres_Multi[[#This Row],[Rating Type]]="IT Equipment",tbl_Data_Centres_Multi[[#This Row],[Target Rating Period Max IT Elec (kWh)]]*tbl_Data_Centres_Multi[[#This Row],[SGEe Scopes 1&amp;2]],
SUM(tbl_Data_Centres_Multi[[#This Row],[Target Max Elec (kWh)]]*tbl_Data_Centres_Multi[[#This Row],[SGEe Scopes 1&amp;2]],
tbl_Data_Centres_Multi[[#This Row],[Target Max Diesel (L)]]*tbl_Data_Centres_Multi[[#This Row],[SGEd Scopes 1&amp;2]]))</f>
        <v>1904787.1700000002</v>
      </c>
      <c r="BC6" s="296">
        <f>IF(tbl_Data_Centres_Multi[[#This Row],[Rating Type]]="Infrastructure",1+tbl_Data_Centres_Multi[[#This Row],[Target Max Elec (kWh)]]/tbl_Data_Centres_Multi[[#This Row],[Assessable IT Energy]],
IF(tbl_Data_Centres_Multi[[#This Row],[Rating Type]]="Whole Facility",tbl_Data_Centres_Multi[[#This Row],[Target Max Elec (kWh)]]/tbl_Data_Centres_Multi[[#This Row],[EITkWhBenchmark]],
0))</f>
        <v>0</v>
      </c>
      <c r="BD6" s="44">
        <f>tbl_Data_Centres_Multi[[#This Row],[Target Max CO2]]/365</f>
        <v>54250.279230044252</v>
      </c>
      <c r="BE6" s="44">
        <f>tbl_Data_Centres_Multi[[#This Row],[Max Daily IT Emissions at Target]]*tbl_Data_Centres_Multi[[#This Row],[Rating Period]]</f>
        <v>2170011.1692017699</v>
      </c>
      <c r="BF6" s="44">
        <f>ROUNDDOWN(tbl_Data_Centres_Multi[[#This Row],[Target Rating Period Max IT CO2 ]]/tbl_Data_Centres_Multi[[#This Row],[SGEe]],0)</f>
        <v>2411123</v>
      </c>
      <c r="BG6" s="47">
        <f>tbl_Data_Centres_Multi[[#This Row],[Max Daily IT Emissions at Target]]/tbl_Data_Centres_Multi[[#This Row],[SGEe]]</f>
        <v>60278.088033382504</v>
      </c>
      <c r="BH6" s="36">
        <f>(LEFT(tbl_Data_Centres_Multi[[#Headers],[6.0* Max Residual]],3)-Data_Centre_C_Reverse_Star_Band_Residual_Adjustment-Data_Centre_C_Median_Performance)/-tbl_Data_Centres_Multi[[Rating Band Coefficient]:[Rating Band Coefficient]]</f>
        <v>-0.84615384615384615</v>
      </c>
      <c r="BI6" s="36">
        <f>(LEFT(tbl_Data_Centres_Multi[[#Headers],[5.5* Max Residual]],3)-Data_Centre_C_Reverse_Star_Band_Residual_Adjustment-Data_Centre_C_Median_Performance)/-tbl_Data_Centres_Multi[[Rating Band Coefficient]:[Rating Band Coefficient]]</f>
        <v>-0.69230769230769229</v>
      </c>
      <c r="BJ6" s="36">
        <f>(LEFT(tbl_Data_Centres_Multi[[#Headers],[5.0* Max Residual]],3)-Data_Centre_C_Reverse_Star_Band_Residual_Adjustment-Data_Centre_C_Median_Performance)/-tbl_Data_Centres_Multi[[Rating Band Coefficient]:[Rating Band Coefficient]]</f>
        <v>-0.53846153846153844</v>
      </c>
      <c r="BK6" s="36">
        <f>(LEFT(tbl_Data_Centres_Multi[[#Headers],[4.5* Max Residual]],3)-Data_Centre_C_Reverse_Star_Band_Residual_Adjustment-Data_Centre_C_Median_Performance)/-tbl_Data_Centres_Multi[[Rating Band Coefficient]:[Rating Band Coefficient]]</f>
        <v>-0.38461538461538464</v>
      </c>
      <c r="BL6" s="36">
        <f>(LEFT(tbl_Data_Centres_Multi[[#Headers],[4.0* Max Residual]],3)-Data_Centre_C_Reverse_Star_Band_Residual_Adjustment-Data_Centre_C_Median_Performance)/-tbl_Data_Centres_Multi[[Rating Band Coefficient]:[Rating Band Coefficient]]</f>
        <v>-0.23076923076923078</v>
      </c>
      <c r="BM6" s="36">
        <f>(LEFT(tbl_Data_Centres_Multi[[#Headers],[3.5* Max Residual]],3)-Data_Centre_C_Reverse_Star_Band_Residual_Adjustment-Data_Centre_C_Median_Performance)/-tbl_Data_Centres_Multi[[Rating Band Coefficient]:[Rating Band Coefficient]]</f>
        <v>-7.6923076923076927E-2</v>
      </c>
      <c r="BN6" s="36">
        <f>(LEFT(tbl_Data_Centres_Multi[[#Headers],[3.0* Max Residual]],3)-Data_Centre_C_Reverse_Star_Band_Residual_Adjustment-Data_Centre_C_Median_Performance)/-tbl_Data_Centres_Multi[[Rating Band Coefficient]:[Rating Band Coefficient]]</f>
        <v>7.6923076923076927E-2</v>
      </c>
      <c r="BO6" s="36">
        <f>(LEFT(tbl_Data_Centres_Multi[[#Headers],[2.5* Max Residual]],3)-Data_Centre_C_Reverse_Star_Band_Residual_Adjustment-Data_Centre_C_Median_Performance)/-tbl_Data_Centres_Multi[[Rating Band Coefficient]:[Rating Band Coefficient]]</f>
        <v>0.23076923076923078</v>
      </c>
      <c r="BP6" s="36">
        <f>(LEFT(tbl_Data_Centres_Multi[[#Headers],[2.0* Max Residual]],3)-Data_Centre_C_Reverse_Star_Band_Residual_Adjustment-Data_Centre_C_Median_Performance)/-tbl_Data_Centres_Multi[[Rating Band Coefficient]:[Rating Band Coefficient]]</f>
        <v>0.38461538461538464</v>
      </c>
      <c r="BQ6" s="36">
        <f>(LEFT(tbl_Data_Centres_Multi[[#Headers],[1.5* Max Residual]],3)-Data_Centre_C_Reverse_Star_Band_Residual_Adjustment-Data_Centre_C_Median_Performance)/-tbl_Data_Centres_Multi[[Rating Band Coefficient]:[Rating Band Coefficient]]</f>
        <v>0.53846153846153844</v>
      </c>
      <c r="BR6" s="36">
        <f>(LEFT(tbl_Data_Centres_Multi[[#Headers],[1.0* Max Residual]],3)-Data_Centre_C_Reverse_Star_Band_Residual_Adjustment-Data_Centre_C_Median_Performance)/-tbl_Data_Centres_Multi[[Rating Band Coefficient]:[Rating Band Coefficient]]</f>
        <v>0.69230769230769229</v>
      </c>
      <c r="BS6" s="36">
        <f>(LEFT(tbl_Data_Centres_Multi[[#Headers],[0.0* Max Residual]],3)-Data_Centre_C_Reverse_Star_Band_Residual_Adjustment-Data_Centre_C_Median_Performance)/-tbl_Data_Centres_Multi[[Rating Band Coefficient]:[Rating Band Coefficient]]</f>
        <v>1</v>
      </c>
      <c r="BT6" s="36">
        <f>tbl_Data_Centres_Multi[[er]:[er]]*(tbl_Data_Centres_Multi[[#This Row],[6.0* Max Residual]]+1)</f>
        <v>3535955.6998153846</v>
      </c>
      <c r="BU6" s="36">
        <f>tbl_Data_Centres_Multi[[er]:[er]]*(tbl_Data_Centres_Multi[[#This Row],[5.5* Max Residual]]+1)</f>
        <v>7071911.3996307692</v>
      </c>
      <c r="BV6" s="36">
        <f>tbl_Data_Centres_Multi[[er]:[er]]*(tbl_Data_Centres_Multi[[#This Row],[5.0* Max Residual]]+1)</f>
        <v>10607867.099446153</v>
      </c>
      <c r="BW6" s="36">
        <f>tbl_Data_Centres_Multi[[er]:[er]]*(tbl_Data_Centres_Multi[[#This Row],[4.5* Max Residual]]+1)</f>
        <v>14143822.799261538</v>
      </c>
      <c r="BX6" s="36">
        <f>tbl_Data_Centres_Multi[[er]:[er]]*(tbl_Data_Centres_Multi[[#This Row],[4.0* Max Residual]]+1)</f>
        <v>17679778.499076921</v>
      </c>
      <c r="BY6" s="36">
        <f>tbl_Data_Centres_Multi[[er]:[er]]*(tbl_Data_Centres_Multi[[#This Row],[3.5* Max Residual]]+1)</f>
        <v>21215734.198892307</v>
      </c>
      <c r="BZ6" s="36">
        <f>tbl_Data_Centres_Multi[[er]:[er]]*(tbl_Data_Centres_Multi[[#This Row],[3.0* Max Residual]]+1)</f>
        <v>24751689.898707692</v>
      </c>
      <c r="CA6" s="36">
        <f>tbl_Data_Centres_Multi[[er]:[er]]*(tbl_Data_Centres_Multi[[#This Row],[2.5* Max Residual]]+1)</f>
        <v>28287645.598523077</v>
      </c>
      <c r="CB6" s="36">
        <f>tbl_Data_Centres_Multi[[er]:[er]]*(tbl_Data_Centres_Multi[[#This Row],[2.0* Max Residual]]+1)</f>
        <v>31823601.298338458</v>
      </c>
      <c r="CC6" s="36">
        <f>tbl_Data_Centres_Multi[[er]:[er]]*(tbl_Data_Centres_Multi[[#This Row],[1.5* Max Residual]]+1)</f>
        <v>35359556.998153843</v>
      </c>
      <c r="CD6" s="36">
        <f>tbl_Data_Centres_Multi[[er]:[er]]*(tbl_Data_Centres_Multi[[#This Row],[1.0* Max Residual]]+1)</f>
        <v>38895512.697969228</v>
      </c>
      <c r="CE6" s="36">
        <f>tbl_Data_Centres_Multi[[er]:[er]]*(tbl_Data_Centres_Multi[[#This Row],[0.0* Max Residual]]+1)</f>
        <v>45967424.097599998</v>
      </c>
      <c r="CF6" s="44">
        <f>tbl_Data_Centres_Multi[[er]:[er]]*(tbl_Data_Centres_Multi[[#This Row],[6.0* Max Residual]]+1)</f>
        <v>3535955.6998153846</v>
      </c>
      <c r="CG6" s="44">
        <f>tbl_Data_Centres_Multi[[er]:[er]]*(tbl_Data_Centres_Multi[[#This Row],[5.5* Max Residual]]+1)</f>
        <v>7071911.3996307692</v>
      </c>
      <c r="CH6" s="44">
        <f>tbl_Data_Centres_Multi[[er]:[er]]*(tbl_Data_Centres_Multi[[#This Row],[5.0* Max Residual]]+1)</f>
        <v>10607867.099446153</v>
      </c>
      <c r="CI6" s="44">
        <f>tbl_Data_Centres_Multi[[er]:[er]]*(tbl_Data_Centres_Multi[[#This Row],[4.5* Max Residual]]+1)</f>
        <v>14143822.799261538</v>
      </c>
      <c r="CJ6" s="44">
        <f>tbl_Data_Centres_Multi[[er]:[er]]*(tbl_Data_Centres_Multi[[#This Row],[4.0* Max Residual]]+1)</f>
        <v>17679778.499076921</v>
      </c>
      <c r="CK6" s="44">
        <f>tbl_Data_Centres_Multi[[er]:[er]]*(tbl_Data_Centres_Multi[[#This Row],[3.5* Max Residual]]+1)</f>
        <v>21215734.198892307</v>
      </c>
      <c r="CL6" s="44">
        <f>tbl_Data_Centres_Multi[[er]:[er]]*(tbl_Data_Centres_Multi[[#This Row],[3.0* Max Residual]]+1)</f>
        <v>24751689.898707692</v>
      </c>
      <c r="CM6" s="44">
        <f>tbl_Data_Centres_Multi[[er]:[er]]*(tbl_Data_Centres_Multi[[#This Row],[2.5* Max Residual]]+1)</f>
        <v>28287645.598523077</v>
      </c>
      <c r="CN6" s="44">
        <f>tbl_Data_Centres_Multi[[er]:[er]]*(tbl_Data_Centres_Multi[[#This Row],[2.0* Max Residual]]+1)</f>
        <v>31823601.298338458</v>
      </c>
      <c r="CO6" s="44">
        <f>tbl_Data_Centres_Multi[[er]:[er]]*(tbl_Data_Centres_Multi[[#This Row],[1.5* Max Residual]]+1)</f>
        <v>35359556.998153843</v>
      </c>
      <c r="CP6" s="44">
        <f>tbl_Data_Centres_Multi[[er]:[er]]*(tbl_Data_Centres_Multi[[#This Row],[1.0* Max Residual]]+1)</f>
        <v>38895512.697969228</v>
      </c>
      <c r="CQ6" s="44">
        <f>tbl_Data_Centres_Multi[[er]:[er]]*(tbl_Data_Centres_Multi[[#This Row],[0.0* Max Residual]]+1)</f>
        <v>45967424.097599998</v>
      </c>
      <c r="CR6" s="44">
        <f>tbl_Data_Centres_Multi[[#This Row],[6.0* Max CO2]]/IF(tbl_Data_Centres_Multi[[Rating Type]:[Rating Type]]="IT Equipment",tbl_Data_Centres_Multi[[SGEe]:[SGEe]],tbl_Data_Centres_Multi[[EffGHG]:[EffGHG]])</f>
        <v>3928839.6664615385</v>
      </c>
      <c r="CS6" s="44">
        <f>tbl_Data_Centres_Multi[[#This Row],[5.5* Max CO2]]/IF(tbl_Data_Centres_Multi[[Rating Type]:[Rating Type]]="IT Equipment",tbl_Data_Centres_Multi[[SGEe]:[SGEe]],tbl_Data_Centres_Multi[[EffGHG]:[EffGHG]])</f>
        <v>7857679.332923077</v>
      </c>
      <c r="CT6" s="44">
        <f>tbl_Data_Centres_Multi[[#This Row],[5.0* Max CO2]]/IF(tbl_Data_Centres_Multi[[Rating Type]:[Rating Type]]="IT Equipment",tbl_Data_Centres_Multi[[SGEe]:[SGEe]],tbl_Data_Centres_Multi[[EffGHG]:[EffGHG]])</f>
        <v>11786518.999384614</v>
      </c>
      <c r="CU6" s="44">
        <f>tbl_Data_Centres_Multi[[#This Row],[4.5* Max CO2]]/IF(tbl_Data_Centres_Multi[[Rating Type]:[Rating Type]]="IT Equipment",tbl_Data_Centres_Multi[[SGEe]:[SGEe]],tbl_Data_Centres_Multi[[EffGHG]:[EffGHG]])</f>
        <v>15715358.665846154</v>
      </c>
      <c r="CV6" s="44">
        <f>tbl_Data_Centres_Multi[[#This Row],[4.0* Max CO2]]/IF(tbl_Data_Centres_Multi[[Rating Type]:[Rating Type]]="IT Equipment",tbl_Data_Centres_Multi[[SGEe]:[SGEe]],tbl_Data_Centres_Multi[[EffGHG]:[EffGHG]])</f>
        <v>19644198.332307689</v>
      </c>
      <c r="CW6" s="44">
        <f>tbl_Data_Centres_Multi[[#This Row],[3.5* Max CO2]]/IF(tbl_Data_Centres_Multi[[Rating Type]:[Rating Type]]="IT Equipment",tbl_Data_Centres_Multi[[SGEe]:[SGEe]],tbl_Data_Centres_Multi[[EffGHG]:[EffGHG]])</f>
        <v>23573037.998769227</v>
      </c>
      <c r="CX6" s="44">
        <f>tbl_Data_Centres_Multi[[#This Row],[3.0* Max CO2]]/IF(tbl_Data_Centres_Multi[[Rating Type]:[Rating Type]]="IT Equipment",tbl_Data_Centres_Multi[[SGEe]:[SGEe]],tbl_Data_Centres_Multi[[EffGHG]:[EffGHG]])</f>
        <v>27501877.665230766</v>
      </c>
      <c r="CY6" s="44">
        <f>tbl_Data_Centres_Multi[[#This Row],[2.5* Max CO2]]/IF(tbl_Data_Centres_Multi[[Rating Type]:[Rating Type]]="IT Equipment",tbl_Data_Centres_Multi[[SGEe]:[SGEe]],tbl_Data_Centres_Multi[[EffGHG]:[EffGHG]])</f>
        <v>31430717.331692308</v>
      </c>
      <c r="CZ6" s="44">
        <f>tbl_Data_Centres_Multi[[#This Row],[2.0* Max CO2]]/IF(tbl_Data_Centres_Multi[[Rating Type]:[Rating Type]]="IT Equipment",tbl_Data_Centres_Multi[[SGEe]:[SGEe]],tbl_Data_Centres_Multi[[EffGHG]:[EffGHG]])</f>
        <v>35359556.998153843</v>
      </c>
      <c r="DA6" s="44">
        <f>tbl_Data_Centres_Multi[[#This Row],[1.5* Max CO2]]/IF(tbl_Data_Centres_Multi[[Rating Type]:[Rating Type]]="IT Equipment",tbl_Data_Centres_Multi[[SGEe]:[SGEe]],tbl_Data_Centres_Multi[[EffGHG]:[EffGHG]])</f>
        <v>39288396.664615378</v>
      </c>
      <c r="DB6" s="44">
        <f>tbl_Data_Centres_Multi[[#This Row],[1.0* Max CO2]]/IF(tbl_Data_Centres_Multi[[Rating Type]:[Rating Type]]="IT Equipment",tbl_Data_Centres_Multi[[SGEe]:[SGEe]],tbl_Data_Centres_Multi[[EffGHG]:[EffGHG]])</f>
        <v>43217236.33107692</v>
      </c>
      <c r="DC6" s="44">
        <f>tbl_Data_Centres_Multi[[#This Row],[0.0* Max CO2]]/IF(tbl_Data_Centres_Multi[[Rating Type]:[Rating Type]]="IT Equipment",tbl_Data_Centres_Multi[[SGEe]:[SGEe]],tbl_Data_Centres_Multi[[EffGHG]:[EffGHG]])</f>
        <v>51074915.663999997</v>
      </c>
      <c r="DD6" s="44">
        <f>ROUNDDOWN(tbl_Data_Centres_Multi[[#This Row],[6.0* Max Energy (MJ)]]*IF(tbl_Data_Centres_Multi[[Rating Type]:[Rating Type]]="IT Equipment",100%,tbl_Data_Centres_Multi[[Electricity (%)]:[Electricity (%)]])/tbl_Data_Centres_Multi[[CFelec]:[CFelec]],0)</f>
        <v>1091344</v>
      </c>
      <c r="DE6" s="44">
        <f>ROUNDDOWN(tbl_Data_Centres_Multi[[#This Row],[5.5* Max Energy (MJ)]]*IF(tbl_Data_Centres_Multi[[Rating Type]:[Rating Type]]="IT Equipment",100%,tbl_Data_Centres_Multi[[Electricity (%)]:[Electricity (%)]])/tbl_Data_Centres_Multi[[CFelec]:[CFelec]],0)</f>
        <v>2182688</v>
      </c>
      <c r="DF6" s="44">
        <f>ROUNDDOWN(tbl_Data_Centres_Multi[[#This Row],[5.0* Max Energy (MJ)]]*IF(tbl_Data_Centres_Multi[[Rating Type]:[Rating Type]]="IT Equipment",100%,tbl_Data_Centres_Multi[[Electricity (%)]:[Electricity (%)]])/tbl_Data_Centres_Multi[[CFelec]:[CFelec]],0)</f>
        <v>3274033</v>
      </c>
      <c r="DG6" s="44">
        <f>ROUNDDOWN(tbl_Data_Centres_Multi[[#This Row],[4.5* Max Energy (MJ)]]*IF(tbl_Data_Centres_Multi[[Rating Type]:[Rating Type]]="IT Equipment",100%,tbl_Data_Centres_Multi[[Electricity (%)]:[Electricity (%)]])/tbl_Data_Centres_Multi[[CFelec]:[CFelec]],0)</f>
        <v>4365377</v>
      </c>
      <c r="DH6" s="44">
        <f>ROUNDDOWN(tbl_Data_Centres_Multi[[#This Row],[4.0* Max Energy (MJ)]]*IF(tbl_Data_Centres_Multi[[Rating Type]:[Rating Type]]="IT Equipment",100%,tbl_Data_Centres_Multi[[Electricity (%)]:[Electricity (%)]])/tbl_Data_Centres_Multi[[CFelec]:[CFelec]],0)</f>
        <v>5456721</v>
      </c>
      <c r="DI6" s="44">
        <f>ROUNDDOWN(tbl_Data_Centres_Multi[[#This Row],[3.5* Max Energy (MJ)]]*IF(tbl_Data_Centres_Multi[[Rating Type]:[Rating Type]]="IT Equipment",100%,tbl_Data_Centres_Multi[[Electricity (%)]:[Electricity (%)]])/tbl_Data_Centres_Multi[[CFelec]:[CFelec]],0)</f>
        <v>6548066</v>
      </c>
      <c r="DJ6" s="44">
        <f>ROUNDDOWN(tbl_Data_Centres_Multi[[#This Row],[3.0* Max Energy (MJ)]]*IF(tbl_Data_Centres_Multi[[Rating Type]:[Rating Type]]="IT Equipment",100%,tbl_Data_Centres_Multi[[Electricity (%)]:[Electricity (%)]])/tbl_Data_Centres_Multi[[CFelec]:[CFelec]],0)</f>
        <v>7639410</v>
      </c>
      <c r="DK6" s="44">
        <f>ROUNDDOWN(tbl_Data_Centres_Multi[[#This Row],[2.5* Max Energy (MJ)]]*IF(tbl_Data_Centres_Multi[[Rating Type]:[Rating Type]]="IT Equipment",100%,tbl_Data_Centres_Multi[[Electricity (%)]:[Electricity (%)]])/tbl_Data_Centres_Multi[[CFelec]:[CFelec]],0)</f>
        <v>8730754</v>
      </c>
      <c r="DL6" s="44">
        <f>ROUNDDOWN(tbl_Data_Centres_Multi[[#This Row],[2.0* Max Energy (MJ)]]*IF(tbl_Data_Centres_Multi[[Rating Type]:[Rating Type]]="IT Equipment",100%,tbl_Data_Centres_Multi[[Electricity (%)]:[Electricity (%)]])/tbl_Data_Centres_Multi[[CFelec]:[CFelec]],0)</f>
        <v>9822099</v>
      </c>
      <c r="DM6" s="44">
        <f>ROUNDDOWN(tbl_Data_Centres_Multi[[#This Row],[1.5* Max Energy (MJ)]]*IF(tbl_Data_Centres_Multi[[Rating Type]:[Rating Type]]="IT Equipment",100%,tbl_Data_Centres_Multi[[Electricity (%)]:[Electricity (%)]])/tbl_Data_Centres_Multi[[CFelec]:[CFelec]],0)</f>
        <v>10913443</v>
      </c>
      <c r="DN6" s="44">
        <f>ROUNDDOWN(tbl_Data_Centres_Multi[[#This Row],[1.0* Max Energy (MJ)]]*IF(tbl_Data_Centres_Multi[[Rating Type]:[Rating Type]]="IT Equipment",100%,tbl_Data_Centres_Multi[[Electricity (%)]:[Electricity (%)]])/tbl_Data_Centres_Multi[[CFelec]:[CFelec]],0)</f>
        <v>12004787</v>
      </c>
      <c r="DO6" s="44">
        <f>ROUNDDOWN(tbl_Data_Centres_Multi[[#This Row],[0.0* Max Energy (MJ)]]*IF(tbl_Data_Centres_Multi[[Rating Type]:[Rating Type]]="IT Equipment",100%,tbl_Data_Centres_Multi[[Electricity (%)]:[Electricity (%)]])/tbl_Data_Centres_Multi[[CFelec]:[CFelec]],0)</f>
        <v>14187476</v>
      </c>
      <c r="DP6" s="44">
        <f>ROUNDDOWN(tbl_Data_Centres_Multi[[#This Row],[6.0* Max Energy (MJ)]]*IF(tbl_Data_Centres_Multi[[Rating Type]:[Rating Type]]="IT Equipment",0%,tbl_Data_Centres_Multi[[Diesel (%)]:[Diesel (%)]])/tbl_Data_Centres_Multi[[CFdiesel]:[CFdiesel]],0)</f>
        <v>0</v>
      </c>
      <c r="DQ6" s="44">
        <f>ROUNDDOWN(tbl_Data_Centres_Multi[[#This Row],[5.5* Max Energy (MJ)]]*IF(tbl_Data_Centres_Multi[[Rating Type]:[Rating Type]]="IT Equipment",0%,tbl_Data_Centres_Multi[[Diesel (%)]:[Diesel (%)]])/tbl_Data_Centres_Multi[[CFdiesel]:[CFdiesel]],0)</f>
        <v>0</v>
      </c>
      <c r="DR6" s="44">
        <f>ROUNDDOWN(tbl_Data_Centres_Multi[[#This Row],[5.0* Max Energy (MJ)]]*IF(tbl_Data_Centres_Multi[[Rating Type]:[Rating Type]]="IT Equipment",0%,tbl_Data_Centres_Multi[[Diesel (%)]:[Diesel (%)]])/tbl_Data_Centres_Multi[[CFdiesel]:[CFdiesel]],0)</f>
        <v>0</v>
      </c>
      <c r="DS6" s="44">
        <f>ROUNDDOWN(tbl_Data_Centres_Multi[[#This Row],[4.5* Max Energy (MJ)]]*IF(tbl_Data_Centres_Multi[[Rating Type]:[Rating Type]]="IT Equipment",0%,tbl_Data_Centres_Multi[[Diesel (%)]:[Diesel (%)]])/tbl_Data_Centres_Multi[[CFdiesel]:[CFdiesel]],0)</f>
        <v>0</v>
      </c>
      <c r="DT6" s="44">
        <f>ROUNDDOWN(tbl_Data_Centres_Multi[[#This Row],[4.0* Max Energy (MJ)]]*IF(tbl_Data_Centres_Multi[[Rating Type]:[Rating Type]]="IT Equipment",0%,tbl_Data_Centres_Multi[[Diesel (%)]:[Diesel (%)]])/tbl_Data_Centres_Multi[[CFdiesel]:[CFdiesel]],0)</f>
        <v>0</v>
      </c>
      <c r="DU6" s="44">
        <f>ROUNDDOWN(tbl_Data_Centres_Multi[[#This Row],[3.5* Max Energy (MJ)]]*IF(tbl_Data_Centres_Multi[[Rating Type]:[Rating Type]]="IT Equipment",0%,tbl_Data_Centres_Multi[[Diesel (%)]:[Diesel (%)]])/tbl_Data_Centres_Multi[[CFdiesel]:[CFdiesel]],0)</f>
        <v>0</v>
      </c>
      <c r="DV6" s="44">
        <f>ROUNDDOWN(tbl_Data_Centres_Multi[[#This Row],[3.0* Max Energy (MJ)]]*IF(tbl_Data_Centres_Multi[[Rating Type]:[Rating Type]]="IT Equipment",0%,tbl_Data_Centres_Multi[[Diesel (%)]:[Diesel (%)]])/tbl_Data_Centres_Multi[[CFdiesel]:[CFdiesel]],0)</f>
        <v>0</v>
      </c>
      <c r="DW6" s="44">
        <f>ROUNDDOWN(tbl_Data_Centres_Multi[[#This Row],[2.5* Max Energy (MJ)]]*IF(tbl_Data_Centres_Multi[[Rating Type]:[Rating Type]]="IT Equipment",0%,tbl_Data_Centres_Multi[[Diesel (%)]:[Diesel (%)]])/tbl_Data_Centres_Multi[[CFdiesel]:[CFdiesel]],0)</f>
        <v>0</v>
      </c>
      <c r="DX6" s="44">
        <f>ROUNDDOWN(tbl_Data_Centres_Multi[[#This Row],[2.0* Max Energy (MJ)]]*IF(tbl_Data_Centres_Multi[[Rating Type]:[Rating Type]]="IT Equipment",0%,tbl_Data_Centres_Multi[[Diesel (%)]:[Diesel (%)]])/tbl_Data_Centres_Multi[[CFdiesel]:[CFdiesel]],0)</f>
        <v>0</v>
      </c>
      <c r="DY6" s="44">
        <f>ROUNDDOWN(tbl_Data_Centres_Multi[[#This Row],[1.5* Max Energy (MJ)]]*IF(tbl_Data_Centres_Multi[[Rating Type]:[Rating Type]]="IT Equipment",0%,tbl_Data_Centres_Multi[[Diesel (%)]:[Diesel (%)]])/tbl_Data_Centres_Multi[[CFdiesel]:[CFdiesel]],0)</f>
        <v>0</v>
      </c>
      <c r="DZ6" s="44">
        <f>ROUNDDOWN(tbl_Data_Centres_Multi[[#This Row],[1.0* Max Energy (MJ)]]*IF(tbl_Data_Centres_Multi[[Rating Type]:[Rating Type]]="IT Equipment",0%,tbl_Data_Centres_Multi[[Diesel (%)]:[Diesel (%)]])/tbl_Data_Centres_Multi[[CFdiesel]:[CFdiesel]],0)</f>
        <v>0</v>
      </c>
      <c r="EA6" s="44">
        <f>ROUNDDOWN(tbl_Data_Centres_Multi[[#This Row],[0.0* Max Energy (MJ)]]*IF(tbl_Data_Centres_Multi[[Rating Type]:[Rating Type]]="IT Equipment",0%,tbl_Data_Centres_Multi[[Diesel (%)]:[Diesel (%)]])/tbl_Data_Centres_Multi[[CFdiesel]:[CFdiesel]],0)</f>
        <v>0</v>
      </c>
      <c r="EB6" s="44">
        <f>SUM(tbl_Data_Centres_Multi[[#This Row],[Electricity]]*(1-tbl_Data_Centres_Multi[[#This Row],[GP]])*tbl_Data_Centres_Multi[[#This Row],[SGEe Scopes 1,2&amp;3]],
tbl_Data_Centres_Multi[[#This Row],[Diesel]]*tbl_Data_Centres_Multi[[#This Row],[SGEd Scopes 1,2&amp;3]])</f>
        <v>369677.60784000001</v>
      </c>
      <c r="EC6" s="44">
        <f>SUM(tbl_Data_Centres_Multi[[#This Row],[Electricity]]*(1-tbl_Data_Centres_Multi[[#This Row],[GP]])*tbl_Data_Centres_Multi[[#This Row],[SGEe Scopes 1&amp;2]],
tbl_Data_Centres_Multi[[#This Row],[Diesel]]*tbl_Data_Centres_Multi[[#This Row],[SGEd Scopes 1&amp;2]])</f>
        <v>339948.80136000004</v>
      </c>
      <c r="ED6" s="45">
        <f>IF(tbl_Data_Centres_Multi[[#This Row],[Energy Star Decimal (with GP)]]&lt;1,0,MIN(ROUNDDOWN(tbl_Data_Centres_Multi[[#This Row],[Energy Star Decimal (with GP)]]*2,0)/2,6))</f>
        <v>6</v>
      </c>
      <c r="EE6" s="45">
        <f>tbl_Data_Centres_Multi[[#This Row],[R (with GP)]]+Data_Centre_C_FWD_Star_Band_Residual_Adjustment</f>
        <v>6.01576881496581</v>
      </c>
      <c r="EF6" s="45">
        <f>IF(tbl_Data_Centres_Multi[[#This Row],[Energy Star Decimal (no GP)]]&lt;1,0,MIN(ROUNDDOWN(tbl_Data_Centres_Multi[[#This Row],[Energy Star Decimal (no GP)]]*2,0)/2,6))</f>
        <v>6</v>
      </c>
      <c r="EG6" s="45">
        <f>tbl_Data_Centres_Multi[[#This Row],[R (no GP)]]+Data_Centre_C_FWD_Star_Band_Residual_Adjustment</f>
        <v>6.01576881496581</v>
      </c>
      <c r="EH6" s="45">
        <f>Data_Centre_C_Median_Performance-tbl_Data_Centres_Multi[[#This Row],[Rating Band Coefficient]]*tbl_Data_Centres_Multi[[#This Row],[p (with GP)]]</f>
        <v>5.51576881496581</v>
      </c>
      <c r="EI6" s="45">
        <f>Data_Centre_C_Median_Performance-tbl_Data_Centres_Multi[[#This Row],[Rating Band Coefficient]]*tbl_Data_Centres_Multi[[#This Row],[p (no GP)]]</f>
        <v>5.51576881496581</v>
      </c>
      <c r="EJ6" s="45">
        <f>IF(tbl_Data_Centres_Multi[[#This Row],[Rating Type]]="IT Equipment",tbl_Data_Centres_Multi[[#This Row],[Electricity]]*(1-tbl_Data_Centres_Multi[[#This Row],[GP]])*tbl_Data_Centres_Multi[[#This Row],[SGEe]]*(365/tbl_Data_Centres_Multi[[#This Row],[Rating Period]]),
SUM(tbl_Data_Centres_Multi[[#This Row],[Electricity]]*(1-tbl_Data_Centres_Multi[[#This Row],[GP]])*tbl_Data_Centres_Multi[[#This Row],[SGEe]],
tbl_Data_Centres_Multi[[#This Row],[Diesel]]*tbl_Data_Centres_Multi[[#This Row],[SGEd]]))</f>
        <v>3424440.0375000001</v>
      </c>
      <c r="EK6" s="45">
        <f>IF(tbl_Data_Centres_Multi[[#This Row],[Rating Type]]="IT Equipment",tbl_Data_Centres_Multi[[#This Row],[Electricity]]*tbl_Data_Centres_Multi[[#This Row],[SGEe]]*(365/tbl_Data_Centres_Multi[[#This Row],[Rating Period]]),
SUM(tbl_Data_Centres_Multi[[#This Row],[Electricity]]*tbl_Data_Centres_Multi[[#This Row],[SGEe]],
tbl_Data_Centres_Multi[[#This Row],[Diesel]]*tbl_Data_Centres_Multi[[#This Row],[SGEd]]))</f>
        <v>3424440.0375000001</v>
      </c>
      <c r="EL6" s="45">
        <f>(tbl_Data_Centres_Multi[[#This Row],[e (with GP)]]-tbl_Data_Centres_Multi[[#This Row],[er]])/tbl_Data_Centres_Multi[[#This Row],[er]]</f>
        <v>-0.85100578922024939</v>
      </c>
      <c r="EM6" s="45">
        <f>(tbl_Data_Centres_Multi[[#This Row],[e (no GP)]]-tbl_Data_Centres_Multi[[#This Row],[er]])/tbl_Data_Centres_Multi[[#This Row],[er]]</f>
        <v>-0.85100578922024939</v>
      </c>
    </row>
  </sheetData>
  <sheetProtection selectLockedCells="1"/>
  <phoneticPr fontId="45" type="noConversion"/>
  <dataValidations disablePrompts="1" count="1">
    <dataValidation type="list" allowBlank="1" showInputMessage="1" showErrorMessage="1" sqref="B4:B6" xr:uid="{9AA8F6F9-BD1F-42C8-BDA3-1596A417366B}">
      <formula1>List_Data_Centre_Rating_Type</formula1>
    </dataValidation>
  </dataValidations>
  <pageMargins left="0.42" right="0.44" top="0.56000000000000005" bottom="0.6" header="0.34" footer="0.4"/>
  <pageSetup paperSize="9" orientation="portrait" blackAndWhite="1" r:id="rId1"/>
  <headerFooter alignWithMargins="0">
    <oddFooter>&amp;R&amp;D</oddFooter>
  </headerFooter>
  <ignoredErrors>
    <ignoredError sqref="R4 A4:I4 S4:T4 J4" unlockedFormula="1"/>
    <ignoredError sqref="CR4:DC4"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1E1DA-E885-492C-A60A-2B6E4BE8AA7D}">
  <sheetPr codeName="Sheet49">
    <tabColor rgb="FF8AD1F3"/>
  </sheetPr>
  <dimension ref="A1:P86"/>
  <sheetViews>
    <sheetView showGridLines="0" topLeftCell="A29" zoomScale="80" zoomScaleNormal="80" workbookViewId="0">
      <selection activeCell="O58" sqref="O58"/>
    </sheetView>
  </sheetViews>
  <sheetFormatPr defaultColWidth="9.28515625" defaultRowHeight="13.15"/>
  <cols>
    <col min="1" max="1" width="3.28515625" style="1" customWidth="1"/>
    <col min="2" max="2" width="19.7109375" style="1" customWidth="1"/>
    <col min="3" max="3" width="14.7109375" style="1" customWidth="1"/>
    <col min="4" max="4" width="5.7109375" style="1" customWidth="1"/>
    <col min="5" max="5" width="39.7109375" style="1" customWidth="1"/>
    <col min="6" max="6" width="16.28515625" style="1" customWidth="1"/>
    <col min="7" max="7" width="14.28515625" style="1" customWidth="1"/>
    <col min="8" max="8" width="2.28515625" style="1" customWidth="1"/>
    <col min="9" max="9" width="20.5703125" style="1" customWidth="1"/>
    <col min="10" max="12" width="9.28515625" style="1"/>
    <col min="13" max="13" width="10" style="1" bestFit="1" customWidth="1"/>
    <col min="14" max="15" width="9.28515625" style="1"/>
    <col min="16" max="16" width="14.85546875" style="1" customWidth="1"/>
    <col min="17" max="16384" width="9.28515625" style="1"/>
  </cols>
  <sheetData>
    <row r="1" spans="1:10" ht="65.25" customHeight="1"/>
    <row r="2" spans="1:10" ht="15" customHeight="1">
      <c r="B2" s="2"/>
      <c r="C2" s="2"/>
      <c r="D2" s="2"/>
      <c r="E2" s="2"/>
      <c r="F2" s="2"/>
      <c r="G2" s="2"/>
      <c r="H2" s="2"/>
      <c r="I2" s="2"/>
    </row>
    <row r="3" spans="1:10" ht="59.25" customHeight="1">
      <c r="B3" s="3"/>
      <c r="C3" s="4"/>
      <c r="D3" s="4"/>
      <c r="E3" s="155"/>
      <c r="F3" s="155" t="s">
        <v>16</v>
      </c>
      <c r="G3" s="846" t="s">
        <v>17</v>
      </c>
      <c r="H3" s="846"/>
      <c r="I3" s="846"/>
    </row>
    <row r="4" spans="1:10" ht="81" customHeight="1">
      <c r="B4" s="845" t="s">
        <v>720</v>
      </c>
      <c r="C4" s="845"/>
      <c r="D4" s="845"/>
      <c r="E4" s="845"/>
      <c r="F4" s="845"/>
      <c r="G4" s="845"/>
      <c r="H4" s="845"/>
      <c r="I4" s="845"/>
    </row>
    <row r="5" spans="1:10" ht="44.25" customHeight="1">
      <c r="A5" s="5"/>
      <c r="B5" s="52" t="s">
        <v>3</v>
      </c>
      <c r="C5" s="53" t="str">
        <f>'Read Me'!$D$5</f>
        <v>V26</v>
      </c>
      <c r="D5" s="53"/>
      <c r="E5" s="52" t="s">
        <v>5</v>
      </c>
      <c r="F5" s="54">
        <f>'Read Me'!$F$5</f>
        <v>45254</v>
      </c>
      <c r="G5" s="55"/>
      <c r="J5" s="322"/>
    </row>
    <row r="7" spans="1:10" ht="120" customHeight="1">
      <c r="B7" s="847" t="s">
        <v>721</v>
      </c>
      <c r="C7" s="847"/>
      <c r="D7" s="847"/>
      <c r="E7" s="847"/>
      <c r="F7" s="847"/>
      <c r="G7" s="847"/>
      <c r="H7" s="847"/>
      <c r="I7" s="847"/>
    </row>
    <row r="8" spans="1:10" ht="10.5" customHeight="1">
      <c r="B8" s="57"/>
      <c r="C8" s="55"/>
      <c r="D8" s="55"/>
      <c r="E8" s="55"/>
      <c r="F8" s="55"/>
      <c r="G8" s="55"/>
      <c r="H8" s="55"/>
    </row>
    <row r="9" spans="1:10" ht="10.5" customHeight="1">
      <c r="B9" s="57"/>
      <c r="C9" s="55"/>
      <c r="D9" s="55"/>
      <c r="E9" s="55"/>
      <c r="F9" s="55"/>
      <c r="G9" s="55"/>
      <c r="H9" s="55"/>
    </row>
    <row r="10" spans="1:10" ht="17.25" customHeight="1">
      <c r="B10" s="56" t="s">
        <v>22</v>
      </c>
      <c r="C10" s="55"/>
      <c r="D10" s="55"/>
      <c r="E10" s="55"/>
      <c r="F10" s="55"/>
      <c r="G10" s="55"/>
      <c r="H10" s="55"/>
    </row>
    <row r="11" spans="1:10" ht="10.5" customHeight="1">
      <c r="B11" s="57"/>
      <c r="C11" s="55"/>
      <c r="D11" s="55"/>
      <c r="E11" s="55"/>
      <c r="F11" s="55"/>
      <c r="G11" s="55"/>
      <c r="H11" s="55"/>
    </row>
    <row r="12" spans="1:10" s="22" customFormat="1" ht="30" customHeight="1">
      <c r="B12" s="24"/>
      <c r="C12" s="23"/>
      <c r="D12" s="23"/>
      <c r="E12" s="74"/>
      <c r="F12" s="51" t="s">
        <v>23</v>
      </c>
      <c r="G12" s="23"/>
      <c r="H12" s="23"/>
      <c r="I12" s="23"/>
      <c r="J12" s="23"/>
    </row>
    <row r="13" spans="1:10" s="22" customFormat="1" ht="17.25" customHeight="1">
      <c r="B13" s="25" t="str">
        <f>IF(MOD(Hotel_Target_Energy*10,1)/10&lt;=0,"","ERROR: Energy Rating must be in 0.1 star increment")</f>
        <v/>
      </c>
      <c r="C13" s="23"/>
      <c r="D13" s="23"/>
      <c r="E13" s="26"/>
      <c r="F13" s="23"/>
      <c r="G13" s="23"/>
      <c r="H13" s="23"/>
    </row>
    <row r="14" spans="1:10" s="22" customFormat="1" ht="30" customHeight="1">
      <c r="B14" s="24"/>
      <c r="C14" s="24"/>
      <c r="D14" s="24"/>
      <c r="E14" s="74"/>
      <c r="F14" s="51" t="s">
        <v>23</v>
      </c>
      <c r="G14" s="24"/>
      <c r="H14" s="24"/>
    </row>
    <row r="15" spans="1:10" ht="13.5" customHeight="1">
      <c r="B15" s="25" t="str">
        <f>IF(MOD(Hotel_Target_Water*10,1)/10&lt;=0,"","ERROR: Water Rating must be in 0.1 star increment")</f>
        <v/>
      </c>
      <c r="C15" s="6"/>
      <c r="D15" s="6"/>
      <c r="E15" s="7"/>
      <c r="F15" s="314"/>
      <c r="G15" s="6"/>
      <c r="H15" s="6"/>
    </row>
    <row r="16" spans="1:10" ht="13.5" customHeight="1">
      <c r="B16" s="6"/>
      <c r="C16" s="6"/>
      <c r="D16" s="6"/>
      <c r="E16" s="7"/>
      <c r="F16" s="314"/>
      <c r="G16" s="6"/>
      <c r="H16" s="6"/>
    </row>
    <row r="17" spans="1:10" ht="13.5" customHeight="1">
      <c r="B17" s="6"/>
      <c r="C17" s="6"/>
      <c r="D17" s="6"/>
      <c r="E17" s="7"/>
      <c r="F17" s="314"/>
      <c r="G17" s="6"/>
      <c r="H17" s="6"/>
    </row>
    <row r="18" spans="1:10" ht="13.5" customHeight="1">
      <c r="B18" s="58"/>
      <c r="I18" s="14"/>
    </row>
    <row r="19" spans="1:10" ht="17.25" customHeight="1">
      <c r="B19" s="56" t="s">
        <v>24</v>
      </c>
      <c r="C19" s="55"/>
      <c r="D19" s="55"/>
      <c r="E19" s="55"/>
      <c r="F19" s="55"/>
      <c r="G19" s="55"/>
      <c r="H19" s="55"/>
    </row>
    <row r="20" spans="1:10" ht="10.5" customHeight="1">
      <c r="B20" s="312"/>
      <c r="C20" s="312"/>
      <c r="D20" s="312"/>
      <c r="E20" s="312"/>
      <c r="F20" s="312"/>
      <c r="G20" s="312"/>
      <c r="H20" s="312"/>
      <c r="I20" s="313"/>
      <c r="J20" s="313"/>
    </row>
    <row r="21" spans="1:10" s="8" customFormat="1" ht="20.25" customHeight="1">
      <c r="A21" s="71"/>
      <c r="B21" s="77" t="s">
        <v>25</v>
      </c>
      <c r="C21" s="78"/>
      <c r="D21" s="78"/>
      <c r="E21" s="78"/>
      <c r="F21" s="78"/>
      <c r="G21" s="79"/>
      <c r="I21" s="75"/>
    </row>
    <row r="22" spans="1:10" s="8" customFormat="1" ht="20.25" customHeight="1">
      <c r="A22" s="71"/>
      <c r="B22" s="339" t="s">
        <v>722</v>
      </c>
      <c r="C22" s="324"/>
      <c r="D22" s="324"/>
      <c r="E22" s="324"/>
      <c r="F22" s="324"/>
      <c r="G22" s="325"/>
      <c r="I22" s="142"/>
    </row>
    <row r="23" spans="1:10" s="8" customFormat="1" ht="20.25" customHeight="1">
      <c r="A23" s="71"/>
      <c r="B23" s="339" t="s">
        <v>723</v>
      </c>
      <c r="C23" s="9"/>
      <c r="D23" s="9"/>
      <c r="E23" s="9"/>
      <c r="F23" s="9"/>
      <c r="G23" s="326"/>
      <c r="H23" s="10"/>
      <c r="I23" s="172"/>
    </row>
    <row r="24" spans="1:10" s="8" customFormat="1" ht="20.25" customHeight="1">
      <c r="A24" s="71"/>
      <c r="B24" s="338" t="s">
        <v>724</v>
      </c>
      <c r="C24" s="9"/>
      <c r="D24" s="9"/>
      <c r="E24" s="9"/>
      <c r="F24" s="9"/>
      <c r="G24" s="326"/>
      <c r="H24" s="10"/>
      <c r="I24" s="172"/>
    </row>
    <row r="25" spans="1:10" s="8" customFormat="1" ht="20.25" customHeight="1">
      <c r="A25" s="71"/>
      <c r="B25" s="338" t="s">
        <v>725</v>
      </c>
      <c r="C25" s="9"/>
      <c r="D25" s="9"/>
      <c r="E25" s="9"/>
      <c r="F25" s="9"/>
      <c r="G25" s="326"/>
      <c r="H25" s="10"/>
      <c r="I25" s="172"/>
    </row>
    <row r="26" spans="1:10" s="8" customFormat="1" ht="20.25" customHeight="1">
      <c r="A26" s="71"/>
      <c r="B26" s="345" t="s">
        <v>726</v>
      </c>
      <c r="C26" s="80"/>
      <c r="D26" s="80"/>
      <c r="E26" s="80"/>
      <c r="F26" s="80"/>
      <c r="G26" s="81"/>
      <c r="H26" s="10"/>
      <c r="I26" s="173"/>
    </row>
    <row r="27" spans="1:10" s="8" customFormat="1" ht="12.75" customHeight="1">
      <c r="A27" s="71"/>
      <c r="B27" s="11"/>
      <c r="C27" s="9"/>
      <c r="D27" s="9"/>
      <c r="E27" s="9"/>
      <c r="F27" s="9"/>
      <c r="G27" s="9"/>
      <c r="H27" s="10"/>
      <c r="I27" s="327"/>
    </row>
    <row r="28" spans="1:10" s="8" customFormat="1" ht="20.25" customHeight="1">
      <c r="A28" s="71"/>
      <c r="B28" s="663" t="s">
        <v>27</v>
      </c>
      <c r="C28" s="666"/>
      <c r="D28" s="666"/>
      <c r="E28" s="666"/>
      <c r="F28" s="666"/>
      <c r="G28" s="667" t="s">
        <v>28</v>
      </c>
      <c r="H28" s="12"/>
      <c r="I28" s="84"/>
    </row>
    <row r="29" spans="1:10" s="8" customFormat="1" ht="20.25" customHeight="1">
      <c r="A29" s="71"/>
      <c r="B29" s="60" t="str">
        <f>IF(SUM(Hotel_Elec_Percent,Hotel_Gas_Percent,Hotel_Diesel_Percent)=1,"","ERROR: Percentage breakdown must total 100%")</f>
        <v>ERROR: Percentage breakdown must total 100%</v>
      </c>
      <c r="C29" s="13"/>
      <c r="D29" s="13"/>
      <c r="E29" s="13"/>
      <c r="F29" s="13"/>
      <c r="G29" s="61" t="s">
        <v>29</v>
      </c>
      <c r="H29" s="17"/>
      <c r="I29" s="84"/>
    </row>
    <row r="30" spans="1:10" s="8" customFormat="1" ht="20.25" customHeight="1">
      <c r="A30" s="71"/>
      <c r="B30" s="62"/>
      <c r="C30" s="63"/>
      <c r="D30" s="63"/>
      <c r="E30" s="63"/>
      <c r="F30" s="63"/>
      <c r="G30" s="64" t="s">
        <v>30</v>
      </c>
      <c r="H30" s="17"/>
      <c r="I30" s="84"/>
    </row>
    <row r="31" spans="1:10" ht="19.5" customHeight="1">
      <c r="B31" s="328"/>
      <c r="C31" s="329"/>
      <c r="D31" s="329"/>
      <c r="E31" s="329"/>
      <c r="F31" s="329"/>
      <c r="G31" s="329"/>
      <c r="H31" s="329"/>
      <c r="I31" s="330"/>
    </row>
    <row r="32" spans="1:10" ht="13.9" thickBot="1">
      <c r="B32" s="331"/>
      <c r="C32" s="332"/>
      <c r="D32" s="332"/>
      <c r="E32" s="332"/>
      <c r="F32" s="332"/>
      <c r="G32" s="332"/>
      <c r="H32" s="332"/>
      <c r="I32" s="333"/>
    </row>
    <row r="33" spans="1:10" ht="18.600000000000001" thickTop="1" thickBot="1">
      <c r="B33" s="89" t="s">
        <v>31</v>
      </c>
      <c r="C33" s="88"/>
      <c r="D33" s="88"/>
      <c r="E33" s="88"/>
      <c r="F33" s="88"/>
      <c r="G33" s="88"/>
      <c r="H33" s="88"/>
      <c r="I33" s="90"/>
    </row>
    <row r="34" spans="1:10" ht="16.149999999999999" thickTop="1">
      <c r="B34" s="85"/>
      <c r="C34" s="85"/>
      <c r="D34" s="85"/>
      <c r="E34" s="85"/>
      <c r="F34" s="85"/>
      <c r="G34" s="85"/>
      <c r="H34" s="85"/>
      <c r="I34" s="86"/>
      <c r="J34" s="313"/>
    </row>
    <row r="35" spans="1:10" ht="18" customHeight="1">
      <c r="C35" s="29" t="s">
        <v>727</v>
      </c>
      <c r="D35" s="16"/>
      <c r="G35" s="65" t="e">
        <f>INDEX(tbl_Hotel_Multi[],1,MATCH($J35,tbl_Hotel_Multi[#Headers],0))</f>
        <v>#N/A</v>
      </c>
      <c r="H35" s="15"/>
      <c r="I35" s="334" t="s">
        <v>33</v>
      </c>
      <c r="J35" s="95" t="s">
        <v>474</v>
      </c>
    </row>
    <row r="36" spans="1:10" ht="18" customHeight="1">
      <c r="C36" s="16"/>
      <c r="D36" s="16"/>
      <c r="G36" s="15"/>
      <c r="H36" s="15"/>
      <c r="J36" s="96"/>
    </row>
    <row r="37" spans="1:10" ht="18" customHeight="1">
      <c r="C37" s="31" t="str">
        <f>CONCATENATE("Maximum Benchmarking Emissions at ",Hotel_Target_Energy, " Star NABERS Energy")</f>
        <v>Maximum Benchmarking Emissions at  Star NABERS Energy</v>
      </c>
      <c r="D37" s="16"/>
      <c r="G37" s="65" t="e">
        <f>INDEX(tbl_Hotel_Multi[],1,MATCH($J37,tbl_Hotel_Multi[#Headers],0))</f>
        <v>#N/A</v>
      </c>
      <c r="H37" s="15"/>
      <c r="I37" s="334" t="s">
        <v>33</v>
      </c>
      <c r="J37" s="95" t="s">
        <v>35</v>
      </c>
    </row>
    <row r="38" spans="1:10" ht="18" customHeight="1">
      <c r="C38" s="31"/>
      <c r="D38" s="16"/>
      <c r="H38" s="15"/>
      <c r="I38" s="334"/>
      <c r="J38" s="95"/>
    </row>
    <row r="39" spans="1:10" ht="18" customHeight="1">
      <c r="C39" s="16"/>
      <c r="D39" s="16"/>
      <c r="H39" s="15"/>
      <c r="J39" s="96"/>
    </row>
    <row r="40" spans="1:10" ht="18" customHeight="1">
      <c r="C40" s="29" t="s">
        <v>728</v>
      </c>
      <c r="D40" s="16"/>
      <c r="G40" s="65" t="e">
        <f>INDEX(tbl_Hotel_Multi[],1,MATCH($J40,tbl_Hotel_Multi[#Headers],0))</f>
        <v>#N/A</v>
      </c>
      <c r="H40" s="15"/>
      <c r="I40" s="334" t="s">
        <v>33</v>
      </c>
      <c r="J40" s="95" t="s">
        <v>37</v>
      </c>
    </row>
    <row r="41" spans="1:10" ht="18" customHeight="1">
      <c r="C41" s="16"/>
      <c r="D41" s="16"/>
      <c r="G41" s="15"/>
      <c r="H41" s="15"/>
      <c r="J41" s="96"/>
    </row>
    <row r="42" spans="1:10" ht="18" customHeight="1">
      <c r="C42" s="29" t="s">
        <v>729</v>
      </c>
      <c r="D42" s="16"/>
      <c r="G42" s="65" t="e">
        <f>INDEX(tbl_Hotel_Multi[],1,MATCH($J42,tbl_Hotel_Multi[#Headers],0))</f>
        <v>#N/A</v>
      </c>
      <c r="H42" s="15"/>
      <c r="I42" s="334" t="s">
        <v>33</v>
      </c>
      <c r="J42" s="95" t="s">
        <v>39</v>
      </c>
    </row>
    <row r="43" spans="1:10" s="8" customFormat="1" ht="18" customHeight="1">
      <c r="A43" s="1"/>
      <c r="B43" s="1"/>
      <c r="C43" s="16"/>
      <c r="D43" s="16"/>
      <c r="E43" s="1"/>
      <c r="F43" s="1"/>
      <c r="G43" s="15"/>
      <c r="H43" s="15"/>
      <c r="I43" s="1"/>
      <c r="J43" s="96"/>
    </row>
    <row r="44" spans="1:10" s="8" customFormat="1" ht="18" customHeight="1">
      <c r="A44" s="1"/>
      <c r="B44" s="1"/>
      <c r="C44" s="16"/>
      <c r="D44" s="16"/>
      <c r="E44" s="1"/>
      <c r="F44" s="1"/>
      <c r="G44" s="15"/>
      <c r="H44" s="15"/>
      <c r="I44" s="1"/>
      <c r="J44" s="96"/>
    </row>
    <row r="45" spans="1:10" ht="18" customHeight="1">
      <c r="C45" s="16" t="str">
        <f>CONCATENATE("Benchmarking Emissions Intensity at ",Hotel_Target_Energy, " Star NABERS Energy")</f>
        <v>Benchmarking Emissions Intensity at  Star NABERS Energy</v>
      </c>
      <c r="G45" s="379" t="e">
        <f>INDEX(tbl_Hotel_Multi[],1,MATCH($J45,tbl_Hotel_Multi[#Headers],0))</f>
        <v>#N/A</v>
      </c>
      <c r="I45" s="334" t="s">
        <v>730</v>
      </c>
      <c r="J45" s="95" t="s">
        <v>41</v>
      </c>
    </row>
    <row r="46" spans="1:10" ht="18" customHeight="1">
      <c r="C46" s="16"/>
      <c r="D46" s="16"/>
      <c r="G46" s="405"/>
      <c r="H46" s="15"/>
      <c r="J46" s="96"/>
    </row>
    <row r="47" spans="1:10" ht="18" customHeight="1">
      <c r="C47" s="16" t="str">
        <f>CONCATENATE("Energy Intensity at ",Hotel_Target_Energy, " Star NABERS Energy")</f>
        <v>Energy Intensity at  Star NABERS Energy</v>
      </c>
      <c r="G47" s="379" t="e">
        <f>INDEX(tbl_Hotel_Multi[],1,MATCH($J47,tbl_Hotel_Multi[#Headers],0))</f>
        <v>#N/A</v>
      </c>
      <c r="I47" s="334" t="s">
        <v>731</v>
      </c>
      <c r="J47" s="95" t="s">
        <v>43</v>
      </c>
    </row>
    <row r="48" spans="1:10" ht="18" customHeight="1">
      <c r="C48" s="16"/>
      <c r="D48" s="16"/>
      <c r="G48" s="15"/>
      <c r="H48" s="15"/>
      <c r="J48" s="96"/>
    </row>
    <row r="49" spans="1:16" ht="18" customHeight="1">
      <c r="C49" s="16"/>
      <c r="D49" s="16"/>
      <c r="G49" s="15"/>
      <c r="H49" s="15"/>
      <c r="J49" s="96"/>
    </row>
    <row r="50" spans="1:16" ht="18" customHeight="1">
      <c r="C50" s="76" t="s">
        <v>44</v>
      </c>
      <c r="D50" s="312"/>
      <c r="E50" s="8"/>
      <c r="F50" s="8"/>
      <c r="J50" s="96"/>
      <c r="P50" s="359"/>
    </row>
    <row r="51" spans="1:16" ht="16.899999999999999">
      <c r="C51" s="66"/>
      <c r="D51" s="66"/>
      <c r="E51" s="8"/>
      <c r="F51" s="67" t="s">
        <v>45</v>
      </c>
      <c r="G51" s="65" t="e">
        <f>INDEX(tbl_Hotel_Multi[],1,MATCH($J51,tbl_Hotel_Multi[#Headers],0))</f>
        <v>#N/A</v>
      </c>
      <c r="H51" s="335"/>
      <c r="I51" s="335" t="s">
        <v>46</v>
      </c>
      <c r="J51" s="95" t="s">
        <v>47</v>
      </c>
      <c r="P51" s="358"/>
    </row>
    <row r="52" spans="1:16" ht="16.899999999999999">
      <c r="C52" s="66"/>
      <c r="D52" s="66"/>
      <c r="E52" s="8"/>
      <c r="F52" s="67" t="s">
        <v>48</v>
      </c>
      <c r="G52" s="65" t="e">
        <f>INDEX(tbl_Hotel_Multi[],1,MATCH($J52,tbl_Hotel_Multi[#Headers],0))</f>
        <v>#N/A</v>
      </c>
      <c r="H52" s="335"/>
      <c r="I52" s="335" t="s">
        <v>49</v>
      </c>
      <c r="J52" s="95" t="s">
        <v>50</v>
      </c>
      <c r="P52" s="308"/>
    </row>
    <row r="53" spans="1:16" ht="16.899999999999999">
      <c r="C53" s="66"/>
      <c r="D53" s="66"/>
      <c r="F53" s="67" t="s">
        <v>51</v>
      </c>
      <c r="G53" s="65" t="e">
        <f>INDEX(tbl_Hotel_Multi[],1,MATCH($J53,tbl_Hotel_Multi[#Headers],0))</f>
        <v>#N/A</v>
      </c>
      <c r="H53" s="335"/>
      <c r="I53" s="335" t="s">
        <v>52</v>
      </c>
      <c r="J53" s="95" t="s">
        <v>53</v>
      </c>
    </row>
    <row r="54" spans="1:16" ht="13.9" thickBot="1">
      <c r="A54" s="90"/>
      <c r="B54" s="90"/>
      <c r="C54" s="90"/>
      <c r="D54" s="90"/>
      <c r="E54" s="90"/>
      <c r="F54" s="90"/>
      <c r="G54" s="90"/>
      <c r="H54" s="90"/>
      <c r="I54" s="90"/>
      <c r="J54" s="95"/>
      <c r="M54" s="372"/>
    </row>
    <row r="55" spans="1:16" ht="13.9" thickTop="1">
      <c r="J55" s="95"/>
    </row>
    <row r="56" spans="1:16" ht="18" customHeight="1">
      <c r="A56" s="32"/>
      <c r="B56" s="33"/>
      <c r="C56" s="29" t="s">
        <v>732</v>
      </c>
      <c r="E56" s="28"/>
      <c r="F56" s="28"/>
      <c r="G56" s="336" t="e">
        <f>INDEX(tbl_Hotel_Multi[],1,MATCH($J56,tbl_Hotel_Multi[#Headers],0))</f>
        <v>#DIV/0!</v>
      </c>
      <c r="H56" s="30"/>
      <c r="I56" s="337" t="s">
        <v>54</v>
      </c>
      <c r="J56" s="95" t="s">
        <v>480</v>
      </c>
    </row>
    <row r="57" spans="1:16" ht="18" customHeight="1">
      <c r="A57" s="32"/>
      <c r="B57" s="33"/>
      <c r="C57" s="83" t="str">
        <f>IF(ISNUMBER(#REF!),#REF!,"")</f>
        <v/>
      </c>
      <c r="E57" s="83"/>
      <c r="F57" s="83"/>
      <c r="G57" s="34"/>
      <c r="I57" s="22"/>
      <c r="J57" s="98"/>
    </row>
    <row r="58" spans="1:16" ht="18" customHeight="1">
      <c r="A58" s="32"/>
      <c r="B58" s="33"/>
      <c r="C58" s="31" t="str">
        <f>CONCATENATE("Maximum Water Consumption at ",Hotel_Target_Water, " Star NABERS Water")</f>
        <v>Maximum Water Consumption at  Star NABERS Water</v>
      </c>
      <c r="E58" s="27"/>
      <c r="F58" s="22"/>
      <c r="G58" s="336" t="e">
        <f>INDEX(tbl_Hotel_Multi[],1,MATCH($J58,tbl_Hotel_Multi[#Headers],0))</f>
        <v>#DIV/0!</v>
      </c>
      <c r="I58" s="337" t="s">
        <v>54</v>
      </c>
      <c r="J58" s="97" t="s">
        <v>620</v>
      </c>
    </row>
    <row r="59" spans="1:16" ht="18" customHeight="1">
      <c r="A59" s="22"/>
      <c r="B59" s="28"/>
      <c r="C59" s="28"/>
      <c r="D59" s="848" t="str">
        <f>IF(ISNUMBER(#REF!),#REF!,"")</f>
        <v/>
      </c>
      <c r="E59" s="848"/>
      <c r="F59" s="848"/>
      <c r="G59" s="34"/>
      <c r="I59" s="35"/>
      <c r="J59" s="22"/>
    </row>
    <row r="60" spans="1:16" ht="18" customHeight="1">
      <c r="A60" s="22"/>
      <c r="B60" s="28"/>
      <c r="C60" s="28"/>
      <c r="D60" s="375"/>
      <c r="E60" s="375"/>
      <c r="F60" s="375"/>
      <c r="G60" s="34"/>
      <c r="I60" s="35"/>
      <c r="J60" s="22"/>
    </row>
    <row r="61" spans="1:16" ht="18" customHeight="1">
      <c r="A61" s="22"/>
      <c r="B61" s="28"/>
      <c r="C61" s="23" t="str">
        <f>CONCATENATE("Water Intensity at ",Hotel_Target_Water, " Star NABERS Water")</f>
        <v>Water Intensity at  Star NABERS Water</v>
      </c>
      <c r="G61" s="380" t="e">
        <f>INDEX(tbl_Hotel_Multi[],1,MATCH($J61,tbl_Hotel_Multi[#Headers],0))</f>
        <v>#DIV/0!</v>
      </c>
      <c r="H61" s="32"/>
      <c r="I61" s="337" t="s">
        <v>481</v>
      </c>
      <c r="J61" s="95" t="s">
        <v>57</v>
      </c>
    </row>
    <row r="62" spans="1:16" ht="18" customHeight="1"/>
    <row r="64" spans="1:16" ht="13.9" thickBot="1"/>
    <row r="65" spans="2:10" ht="18.600000000000001" thickTop="1" thickBot="1">
      <c r="B65" s="92" t="s">
        <v>58</v>
      </c>
      <c r="C65" s="87"/>
      <c r="D65" s="87"/>
      <c r="E65" s="87"/>
      <c r="F65" s="87"/>
      <c r="G65" s="87"/>
      <c r="H65" s="87"/>
      <c r="I65" s="91"/>
    </row>
    <row r="66" spans="2:10" ht="13.9" thickTop="1"/>
    <row r="67" spans="2:10">
      <c r="B67" s="668" t="s">
        <v>59</v>
      </c>
      <c r="C67" s="669"/>
      <c r="D67" s="669"/>
      <c r="E67" s="669"/>
      <c r="F67" s="670" t="s">
        <v>60</v>
      </c>
      <c r="G67" s="356"/>
    </row>
    <row r="68" spans="2:10">
      <c r="B68" s="19"/>
      <c r="C68" s="20"/>
      <c r="D68" s="20"/>
      <c r="E68" s="20"/>
      <c r="F68" s="21" t="s">
        <v>61</v>
      </c>
      <c r="G68" s="356"/>
    </row>
    <row r="69" spans="2:10">
      <c r="B69" s="100"/>
      <c r="C69" s="20"/>
      <c r="D69" s="20"/>
      <c r="E69" s="20"/>
      <c r="F69" s="21" t="s">
        <v>62</v>
      </c>
      <c r="G69" s="356"/>
    </row>
    <row r="70" spans="2:10">
      <c r="B70" s="18"/>
      <c r="C70" s="99"/>
      <c r="D70" s="99"/>
      <c r="E70" s="99"/>
      <c r="F70" s="21" t="s">
        <v>63</v>
      </c>
      <c r="G70" s="357"/>
    </row>
    <row r="71" spans="2:10" ht="15.6">
      <c r="B71" s="111" t="s">
        <v>64</v>
      </c>
      <c r="C71" s="103"/>
      <c r="D71" s="103"/>
      <c r="E71" s="103"/>
      <c r="F71" s="104" t="s">
        <v>733</v>
      </c>
      <c r="G71" s="140" t="e">
        <f>INDEX(tbl_Hotel_Multi[],1,MATCH($J71,tbl_Hotel_Multi[#Headers],0))</f>
        <v>#N/A</v>
      </c>
      <c r="I71" s="334" t="s">
        <v>734</v>
      </c>
      <c r="J71" s="95" t="s">
        <v>735</v>
      </c>
    </row>
    <row r="72" spans="2:10">
      <c r="B72" s="114"/>
      <c r="C72" s="106"/>
      <c r="D72" s="106"/>
      <c r="E72" s="106"/>
      <c r="F72" s="107" t="s">
        <v>67</v>
      </c>
      <c r="G72" s="141" t="e">
        <f>INDEX(tbl_Hotel_Multi[],1,MATCH($J72,tbl_Hotel_Multi[#Headers],0))</f>
        <v>#N/A</v>
      </c>
      <c r="J72" s="95" t="s">
        <v>68</v>
      </c>
    </row>
    <row r="73" spans="2:10">
      <c r="B73" s="105"/>
      <c r="C73" s="106"/>
      <c r="D73" s="106"/>
      <c r="E73" s="106"/>
      <c r="F73" s="107" t="s">
        <v>69</v>
      </c>
      <c r="G73" s="141" t="e">
        <f>INDEX(tbl_Hotel_Multi[],1,MATCH($J73,tbl_Hotel_Multi[#Headers],0))</f>
        <v>#N/A</v>
      </c>
      <c r="H73" s="17"/>
      <c r="J73" s="95" t="s">
        <v>70</v>
      </c>
    </row>
    <row r="74" spans="2:10" ht="15.6">
      <c r="B74" s="114"/>
      <c r="C74" s="106"/>
      <c r="D74" s="106"/>
      <c r="E74" s="106"/>
      <c r="F74" s="107" t="s">
        <v>736</v>
      </c>
      <c r="G74" s="140" t="e">
        <f>INDEX(tbl_Hotel_Multi[],1,MATCH($J74,tbl_Hotel_Multi[#Headers],0))</f>
        <v>#N/A</v>
      </c>
      <c r="H74" s="17"/>
      <c r="I74" s="334" t="s">
        <v>734</v>
      </c>
      <c r="J74" s="95" t="s">
        <v>737</v>
      </c>
    </row>
    <row r="75" spans="2:10">
      <c r="B75" s="105"/>
      <c r="C75" s="106"/>
      <c r="D75" s="106"/>
      <c r="E75" s="106"/>
      <c r="F75" s="107" t="s">
        <v>73</v>
      </c>
      <c r="G75" s="141" t="e">
        <f>INDEX(tbl_Hotel_Multi[],1,MATCH($J75,tbl_Hotel_Multi[#Headers],0))</f>
        <v>#N/A</v>
      </c>
      <c r="H75" s="17"/>
      <c r="J75" s="95" t="s">
        <v>74</v>
      </c>
    </row>
    <row r="76" spans="2:10">
      <c r="B76" s="108"/>
      <c r="C76" s="109"/>
      <c r="D76" s="109"/>
      <c r="E76" s="109"/>
      <c r="F76" s="110" t="s">
        <v>75</v>
      </c>
      <c r="G76" s="141" t="e">
        <f>INDEX(tbl_Hotel_Multi[],1,MATCH($J76,tbl_Hotel_Multi[#Headers],0))</f>
        <v>#N/A</v>
      </c>
      <c r="H76" s="17"/>
      <c r="J76" s="95" t="s">
        <v>76</v>
      </c>
    </row>
    <row r="77" spans="2:10">
      <c r="B77" s="13"/>
      <c r="C77" s="13"/>
      <c r="D77" s="13"/>
      <c r="E77" s="65"/>
      <c r="F77" s="65"/>
      <c r="G77" s="65"/>
      <c r="H77" s="17"/>
    </row>
    <row r="79" spans="2:10">
      <c r="B79" s="112" t="s">
        <v>77</v>
      </c>
      <c r="C79" s="113"/>
      <c r="D79" s="113"/>
      <c r="E79" s="113"/>
      <c r="F79" s="102" t="s">
        <v>78</v>
      </c>
      <c r="G79" s="356"/>
    </row>
    <row r="80" spans="2:10">
      <c r="B80" s="115"/>
      <c r="C80" s="99"/>
      <c r="D80" s="99"/>
      <c r="E80" s="99"/>
      <c r="F80" s="101" t="s">
        <v>79</v>
      </c>
      <c r="G80" s="357"/>
      <c r="H80" s="12"/>
    </row>
    <row r="81" spans="2:10">
      <c r="B81" s="128" t="s">
        <v>80</v>
      </c>
      <c r="C81" s="129"/>
      <c r="D81" s="129"/>
      <c r="E81" s="129"/>
      <c r="F81" s="130" t="s">
        <v>738</v>
      </c>
      <c r="G81" s="157" t="e">
        <f>INDEX(tbl_Hotel_Multi[],1,MATCH($J81,tbl_Hotel_Multi[#Headers],0))</f>
        <v>#DIV/0!</v>
      </c>
      <c r="I81" s="337" t="s">
        <v>739</v>
      </c>
      <c r="J81" s="95" t="s">
        <v>83</v>
      </c>
    </row>
    <row r="82" spans="2:10">
      <c r="B82" s="131"/>
      <c r="C82" s="132"/>
      <c r="D82" s="132"/>
      <c r="E82" s="132"/>
      <c r="F82" s="133" t="s">
        <v>84</v>
      </c>
      <c r="G82" s="139" t="e">
        <f>INDEX(tbl_Hotel_Multi[],1,MATCH($J82,tbl_Hotel_Multi[#Headers],0))</f>
        <v>#DIV/0!</v>
      </c>
      <c r="J82" s="95" t="s">
        <v>85</v>
      </c>
    </row>
    <row r="83" spans="2:10">
      <c r="B83" s="131"/>
      <c r="C83" s="132"/>
      <c r="D83" s="132"/>
      <c r="E83" s="132"/>
      <c r="F83" s="133" t="s">
        <v>86</v>
      </c>
      <c r="G83" s="139" t="e">
        <f>INDEX(tbl_Hotel_Multi[],1,MATCH($J83,tbl_Hotel_Multi[#Headers],0))</f>
        <v>#DIV/0!</v>
      </c>
      <c r="J83" s="95" t="s">
        <v>87</v>
      </c>
    </row>
    <row r="84" spans="2:10">
      <c r="B84" s="131"/>
      <c r="C84" s="132"/>
      <c r="D84" s="132"/>
      <c r="E84" s="132"/>
      <c r="F84" s="133" t="s">
        <v>740</v>
      </c>
      <c r="G84" s="157" t="e">
        <f>INDEX(tbl_Hotel_Multi[],1,MATCH($J84,tbl_Hotel_Multi[#Headers],0))</f>
        <v>#DIV/0!</v>
      </c>
      <c r="I84" s="337" t="s">
        <v>739</v>
      </c>
      <c r="J84" s="95" t="s">
        <v>89</v>
      </c>
    </row>
    <row r="85" spans="2:10">
      <c r="B85" s="134"/>
      <c r="C85" s="132"/>
      <c r="D85" s="132"/>
      <c r="E85" s="132"/>
      <c r="F85" s="133" t="s">
        <v>90</v>
      </c>
      <c r="G85" s="139" t="e">
        <f>INDEX(tbl_Hotel_Multi[],1,MATCH($J85,tbl_Hotel_Multi[#Headers],0))</f>
        <v>#DIV/0!</v>
      </c>
      <c r="J85" s="95" t="s">
        <v>91</v>
      </c>
    </row>
    <row r="86" spans="2:10">
      <c r="B86" s="135"/>
      <c r="C86" s="136"/>
      <c r="D86" s="136"/>
      <c r="E86" s="136"/>
      <c r="F86" s="137" t="s">
        <v>92</v>
      </c>
      <c r="G86" s="139" t="e">
        <f>INDEX(tbl_Hotel_Multi[],1,MATCH($J86,tbl_Hotel_Multi[#Headers],0))</f>
        <v>#DIV/0!</v>
      </c>
      <c r="J86" s="95" t="s">
        <v>93</v>
      </c>
    </row>
  </sheetData>
  <sheetProtection algorithmName="SHA-512" hashValue="YVYLng63DnppjxcLpBHwiT1kroaqDs4sGrQ1xLC5jxotRntgIIT6M1DKn7KKv0riTMp5S/zTYIVMw558w4yOzA==" saltValue="j3ij1gdE9JXDzXXj9KPYEw==" spinCount="100000" sheet="1" objects="1" scenarios="1"/>
  <dataConsolidate/>
  <mergeCells count="4">
    <mergeCell ref="G3:I3"/>
    <mergeCell ref="B4:I4"/>
    <mergeCell ref="B7:I7"/>
    <mergeCell ref="D59:F59"/>
  </mergeCells>
  <conditionalFormatting sqref="C57 E57:F57 D59:F60">
    <cfRule type="expression" dxfId="1571" priority="18" stopIfTrue="1">
      <formula>($D$11="")</formula>
    </cfRule>
  </conditionalFormatting>
  <conditionalFormatting sqref="E12">
    <cfRule type="cellIs" dxfId="1570" priority="20" stopIfTrue="1" operator="between">
      <formula>0</formula>
      <formula>5</formula>
    </cfRule>
  </conditionalFormatting>
  <conditionalFormatting sqref="E14">
    <cfRule type="cellIs" dxfId="1569" priority="19" stopIfTrue="1" operator="between">
      <formula>0</formula>
      <formula>5</formula>
    </cfRule>
  </conditionalFormatting>
  <conditionalFormatting sqref="G51:G53">
    <cfRule type="expression" dxfId="1568" priority="21" stopIfTrue="1">
      <formula>(#REF!="")</formula>
    </cfRule>
    <cfRule type="expression" dxfId="1567" priority="22" stopIfTrue="1">
      <formula>OR(#REF!="ERROR: Rating must be in 0.5 star increment")</formula>
    </cfRule>
  </conditionalFormatting>
  <conditionalFormatting sqref="G67:G70">
    <cfRule type="expression" dxfId="1566" priority="14" stopIfTrue="1">
      <formula>($B$24="ERROR: Percentage breakdown must total 100%")</formula>
    </cfRule>
  </conditionalFormatting>
  <conditionalFormatting sqref="G79:G80">
    <cfRule type="expression" dxfId="1565" priority="12" stopIfTrue="1">
      <formula>($B$24="ERROR: Percentage breakdown must total 100%")</formula>
    </cfRule>
  </conditionalFormatting>
  <conditionalFormatting sqref="I18">
    <cfRule type="cellIs" dxfId="1564" priority="23" stopIfTrue="1" operator="between">
      <formula>0</formula>
      <formula>5</formula>
    </cfRule>
  </conditionalFormatting>
  <conditionalFormatting sqref="I21:I26">
    <cfRule type="expression" dxfId="1563" priority="1">
      <formula>$B21=""</formula>
    </cfRule>
  </conditionalFormatting>
  <conditionalFormatting sqref="I28:I30">
    <cfRule type="expression" dxfId="1562" priority="2">
      <formula>NOT(SUM($I$28:$I$30)=1)</formula>
    </cfRule>
  </conditionalFormatting>
  <dataValidations count="2">
    <dataValidation type="decimal" allowBlank="1" showInputMessage="1" showErrorMessage="1" sqref="I18 E12:E17 WFO12:WFO14 VVS12:VVS14 VLW12:VLW14 VCA12:VCA14 USE12:USE14 UII12:UII14 TYM12:TYM14 TOQ12:TOQ14 TEU12:TEU14 SUY12:SUY14 SLC12:SLC14 SBG12:SBG14 RRK12:RRK14 RHO12:RHO14 QXS12:QXS14 QNW12:QNW14 QEA12:QEA14 PUE12:PUE14 PKI12:PKI14 PAM12:PAM14 OQQ12:OQQ14 OGU12:OGU14 NWY12:NWY14 NNC12:NNC14 NDG12:NDG14 MTK12:MTK14 MJO12:MJO14 LZS12:LZS14 LPW12:LPW14 LGA12:LGA14 KWE12:KWE14 KMI12:KMI14 KCM12:KCM14 JSQ12:JSQ14 JIU12:JIU14 IYY12:IYY14 IPC12:IPC14 IFG12:IFG14 HVK12:HVK14 HLO12:HLO14 HBS12:HBS14 GRW12:GRW14 GIA12:GIA14 FYE12:FYE14 FOI12:FOI14 FEM12:FEM14 EUQ12:EUQ14 EKU12:EKU14 EAY12:EAY14 DRC12:DRC14 DHG12:DHG14 CXK12:CXK14 CNO12:CNO14 CDS12:CDS14 BTW12:BTW14 BKA12:BKA14 BAE12:BAE14 AQI12:AQI14 AGM12:AGM14 WQ12:WQ14 MU12:MU14 CY12:CY14 WPK12:WPK14" xr:uid="{0BA5D1CF-BAAD-4120-9CCD-0A938B312006}">
      <formula1>0</formula1>
      <formula2>6</formula2>
    </dataValidation>
    <dataValidation type="list" allowBlank="1" showInputMessage="1" showErrorMessage="1" sqref="I22" xr:uid="{94D34E63-10A5-47A6-94EF-CEE152B0897C}">
      <formula1>List_Hotel_Star_Rating</formula1>
    </dataValidation>
  </dataValidations>
  <pageMargins left="0.45" right="0.42" top="0.55000000000000004" bottom="0.6" header="0.32" footer="0.5"/>
  <pageSetup paperSize="9" orientation="portrait" blackAndWhite="1" r:id="rId1"/>
  <headerFooter alignWithMargins="0">
    <oddFooter>&amp;R&amp;D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85E87-A29A-4624-875D-641C24BCD39D}">
  <sheetPr codeName="Sheet2"/>
  <dimension ref="A1:HJ6"/>
  <sheetViews>
    <sheetView zoomScale="70" zoomScaleNormal="70" workbookViewId="0">
      <pane ySplit="3" topLeftCell="A4" activePane="bottomLeft" state="frozen"/>
      <selection pane="bottomLeft" activeCell="E12" sqref="E12"/>
      <selection activeCell="E12" sqref="E12"/>
    </sheetView>
  </sheetViews>
  <sheetFormatPr defaultColWidth="9.28515625" defaultRowHeight="16.5" customHeight="1"/>
  <cols>
    <col min="1" max="1" width="19.28515625" style="36" customWidth="1"/>
    <col min="2" max="2" width="14" style="36" customWidth="1"/>
    <col min="3" max="3" width="10.7109375" style="49" customWidth="1"/>
    <col min="4" max="7" width="9.28515625" style="49" bestFit="1" customWidth="1"/>
    <col min="8" max="8" width="10.28515625" style="49" customWidth="1"/>
    <col min="9" max="11" width="12.28515625" style="36" customWidth="1"/>
    <col min="12" max="12" width="12.28515625" style="49" customWidth="1"/>
    <col min="13" max="13" width="12.28515625" style="49" bestFit="1" customWidth="1"/>
    <col min="14" max="16" width="12" style="36" customWidth="1"/>
    <col min="17" max="20" width="18.7109375" style="36" customWidth="1"/>
    <col min="21" max="21" width="9.28515625" style="36" bestFit="1" customWidth="1"/>
    <col min="22" max="22" width="11" style="36" customWidth="1"/>
    <col min="23" max="23" width="9.28515625" style="36" bestFit="1" customWidth="1"/>
    <col min="24" max="24" width="11.28515625" style="36" customWidth="1"/>
    <col min="25" max="30" width="13.7109375" style="36" customWidth="1"/>
    <col min="31" max="37" width="9.28515625" style="49"/>
    <col min="38" max="38" width="9.28515625" style="49" bestFit="1" customWidth="1"/>
    <col min="39" max="39" width="9.28515625" style="49"/>
    <col min="40" max="43" width="9.28515625" style="49" bestFit="1" customWidth="1"/>
    <col min="44" max="44" width="9.28515625" style="36" bestFit="1" customWidth="1"/>
    <col min="45" max="46" width="9.28515625" style="49" bestFit="1" customWidth="1"/>
    <col min="47" max="49" width="9.28515625" style="36" customWidth="1"/>
    <col min="50" max="50" width="10" style="36" bestFit="1" customWidth="1"/>
    <col min="51" max="51" width="9.28515625" style="36" customWidth="1"/>
    <col min="52" max="52" width="13.7109375" style="36" bestFit="1" customWidth="1"/>
    <col min="53" max="53" width="9.28515625" style="36" customWidth="1"/>
    <col min="54" max="58" width="9.28515625" style="49"/>
    <col min="59" max="59" width="9.28515625" style="49" customWidth="1"/>
    <col min="60" max="60" width="9.28515625" style="49"/>
    <col min="61" max="69" width="10.28515625" style="36" customWidth="1"/>
    <col min="70" max="71" width="12.7109375" style="36" bestFit="1" customWidth="1"/>
    <col min="72" max="72" width="9.28515625" style="49"/>
    <col min="73" max="73" width="9.28515625" style="36" customWidth="1"/>
    <col min="74" max="78" width="10.28515625" style="36" customWidth="1"/>
    <col min="79" max="81" width="10.85546875" style="36" customWidth="1"/>
    <col min="82" max="84" width="10.85546875" style="49" customWidth="1"/>
    <col min="85" max="88" width="10.85546875" style="36" customWidth="1"/>
    <col min="89" max="89" width="9.28515625" style="36" customWidth="1"/>
    <col min="90" max="90" width="10" style="36" customWidth="1"/>
    <col min="91" max="93" width="12.7109375" style="49" customWidth="1"/>
    <col min="94" max="94" width="12.7109375" style="36" customWidth="1"/>
    <col min="95" max="95" width="12.7109375" style="49" customWidth="1"/>
    <col min="96" max="96" width="12.7109375" style="36" customWidth="1"/>
    <col min="97" max="97" width="12.7109375" style="49" customWidth="1"/>
    <col min="98" max="109" width="12.7109375" style="36" customWidth="1"/>
    <col min="110" max="116" width="12.7109375" style="49" customWidth="1"/>
    <col min="117" max="123" width="12.7109375" style="36" customWidth="1"/>
    <col min="124" max="124" width="12.7109375" style="49" customWidth="1"/>
    <col min="125" max="137" width="12.7109375" style="36" customWidth="1"/>
    <col min="138" max="140" width="12.7109375" style="49" customWidth="1"/>
    <col min="141" max="154" width="12.7109375" style="36" customWidth="1"/>
    <col min="155" max="166" width="12.7109375" style="49" customWidth="1"/>
    <col min="167" max="198" width="12.7109375" style="36" customWidth="1"/>
    <col min="199" max="207" width="11.28515625" style="36" customWidth="1"/>
    <col min="208" max="211" width="11.28515625" style="36" bestFit="1" customWidth="1"/>
    <col min="212" max="214" width="10.85546875" style="36" bestFit="1" customWidth="1"/>
    <col min="215" max="216" width="10.85546875" style="36" customWidth="1"/>
    <col min="217" max="218" width="10.85546875" style="36" bestFit="1" customWidth="1"/>
    <col min="219" max="240" width="9.28515625" style="36" bestFit="1" customWidth="1"/>
    <col min="241" max="241" width="9.28515625" style="36" customWidth="1"/>
    <col min="242" max="242" width="10.85546875" style="36" customWidth="1"/>
    <col min="243" max="244" width="12.28515625" style="36" customWidth="1"/>
    <col min="245" max="245" width="12.7109375" style="36" customWidth="1"/>
    <col min="246" max="16384" width="9.28515625" style="36"/>
  </cols>
  <sheetData>
    <row r="1" spans="1:218" ht="16.5" customHeight="1">
      <c r="A1" s="534"/>
      <c r="B1" s="535"/>
      <c r="C1" s="201" t="s">
        <v>741</v>
      </c>
      <c r="D1" s="195"/>
      <c r="E1" s="195"/>
      <c r="F1" s="195"/>
      <c r="G1" s="195"/>
      <c r="H1" s="196"/>
      <c r="I1" s="202" t="s">
        <v>96</v>
      </c>
      <c r="J1" s="195"/>
      <c r="K1" s="195"/>
      <c r="L1" s="204" t="s">
        <v>97</v>
      </c>
      <c r="M1" s="205"/>
      <c r="N1" s="205"/>
      <c r="O1" s="205"/>
      <c r="P1" s="205"/>
      <c r="Q1" s="205"/>
      <c r="R1" s="205"/>
      <c r="S1" s="205"/>
      <c r="T1" s="205"/>
      <c r="U1" s="205"/>
      <c r="V1" s="206" t="s">
        <v>491</v>
      </c>
      <c r="W1" s="383"/>
      <c r="X1" s="203"/>
      <c r="Y1" s="124" t="s">
        <v>98</v>
      </c>
      <c r="Z1" s="122"/>
      <c r="AA1" s="123"/>
      <c r="AB1" s="124"/>
      <c r="AC1" s="621" t="s">
        <v>99</v>
      </c>
      <c r="AD1" s="621"/>
      <c r="AE1" s="119" t="s">
        <v>493</v>
      </c>
      <c r="AF1" s="117"/>
      <c r="AG1" s="117"/>
      <c r="AH1" s="116"/>
      <c r="AI1" s="118" t="s">
        <v>742</v>
      </c>
      <c r="AJ1" s="119"/>
      <c r="AK1" s="119"/>
      <c r="AL1" s="310" t="s">
        <v>743</v>
      </c>
      <c r="AM1" s="191"/>
      <c r="AN1" s="192"/>
      <c r="AO1" s="310" t="s">
        <v>103</v>
      </c>
      <c r="AP1" s="191"/>
      <c r="AQ1" s="191"/>
      <c r="AR1" s="191"/>
      <c r="AS1" s="192"/>
      <c r="AT1" s="310" t="s">
        <v>104</v>
      </c>
      <c r="AU1" s="191"/>
      <c r="AV1" s="191"/>
      <c r="AW1" s="191"/>
      <c r="AX1" s="191"/>
      <c r="AY1" s="192"/>
      <c r="AZ1" s="118" t="s">
        <v>105</v>
      </c>
      <c r="BA1" s="117"/>
      <c r="BB1" s="117"/>
      <c r="BC1" s="117"/>
      <c r="BD1" s="117"/>
      <c r="BE1" s="117"/>
      <c r="BF1" s="117"/>
      <c r="BG1" s="119"/>
      <c r="BH1" s="117"/>
      <c r="BI1" s="117"/>
      <c r="BJ1" s="117"/>
      <c r="BK1" s="117"/>
      <c r="BL1" s="116"/>
      <c r="BM1" s="119" t="s">
        <v>744</v>
      </c>
      <c r="BN1" s="117"/>
      <c r="BO1" s="117"/>
      <c r="BP1" s="117"/>
      <c r="BQ1" s="117"/>
      <c r="BR1" s="118" t="s">
        <v>106</v>
      </c>
      <c r="BS1" s="119"/>
      <c r="BT1" s="119"/>
      <c r="BU1" s="119"/>
      <c r="BV1" s="143"/>
      <c r="BW1" s="117"/>
      <c r="BX1" s="117"/>
      <c r="BY1" s="117"/>
      <c r="BZ1" s="117"/>
      <c r="CA1" s="118" t="s">
        <v>494</v>
      </c>
      <c r="CB1" s="117"/>
      <c r="CC1" s="117"/>
      <c r="CD1" s="117"/>
      <c r="CE1" s="117"/>
      <c r="CF1" s="117"/>
      <c r="CG1" s="117"/>
      <c r="CH1" s="117"/>
      <c r="CI1" s="117"/>
      <c r="CJ1" s="116"/>
      <c r="CK1" s="118" t="s">
        <v>108</v>
      </c>
      <c r="CL1" s="117"/>
      <c r="CM1" s="190"/>
      <c r="CN1" s="191"/>
      <c r="CO1" s="191"/>
      <c r="CP1" s="191"/>
      <c r="CQ1" s="191"/>
      <c r="CR1" s="191"/>
      <c r="CS1" s="191"/>
      <c r="CT1" s="191"/>
      <c r="CU1" s="191"/>
      <c r="CV1" s="191"/>
      <c r="CW1" s="191"/>
      <c r="CX1" s="191"/>
      <c r="CY1" s="190"/>
      <c r="CZ1" s="191"/>
      <c r="DA1" s="191"/>
      <c r="DB1" s="191"/>
      <c r="DC1" s="191"/>
      <c r="DD1" s="191"/>
      <c r="DE1" s="191"/>
      <c r="DF1" s="191"/>
      <c r="DG1" s="191"/>
      <c r="DH1" s="191"/>
      <c r="DI1" s="191"/>
      <c r="DJ1" s="191"/>
      <c r="DK1" s="197"/>
      <c r="DL1" s="251"/>
      <c r="DM1" s="251"/>
      <c r="DN1" s="251"/>
      <c r="DO1" s="251"/>
      <c r="DP1" s="251"/>
      <c r="DQ1" s="251"/>
      <c r="DR1" s="251"/>
      <c r="DS1" s="251"/>
      <c r="DT1" s="251"/>
      <c r="DU1" s="251"/>
      <c r="DV1" s="251"/>
      <c r="DW1" s="190"/>
      <c r="DX1" s="191"/>
      <c r="DY1" s="191"/>
      <c r="DZ1" s="191"/>
      <c r="EA1" s="191"/>
      <c r="EB1" s="191"/>
      <c r="EC1" s="191"/>
      <c r="ED1" s="191"/>
      <c r="EE1" s="191"/>
      <c r="EF1" s="191"/>
      <c r="EG1" s="191"/>
      <c r="EH1" s="191"/>
      <c r="EI1" s="190"/>
      <c r="EJ1" s="191"/>
      <c r="EK1" s="191"/>
      <c r="EL1" s="191"/>
      <c r="EM1" s="191"/>
      <c r="EN1" s="191"/>
      <c r="EO1" s="191"/>
      <c r="EP1" s="191"/>
      <c r="EQ1" s="191"/>
      <c r="ER1" s="191"/>
      <c r="ES1" s="191"/>
      <c r="ET1" s="191"/>
      <c r="EU1" s="197"/>
      <c r="EV1" s="251"/>
      <c r="EW1" s="251"/>
      <c r="EX1" s="251"/>
      <c r="EY1" s="251"/>
      <c r="EZ1" s="251"/>
      <c r="FA1" s="251"/>
      <c r="FB1" s="251"/>
      <c r="FC1" s="251"/>
      <c r="FD1" s="251"/>
      <c r="FE1" s="251"/>
      <c r="FF1" s="198"/>
      <c r="FG1" s="191"/>
      <c r="FH1" s="191"/>
      <c r="FI1" s="191"/>
      <c r="FJ1" s="191"/>
      <c r="FK1" s="191"/>
      <c r="FL1" s="191"/>
      <c r="FM1" s="191"/>
      <c r="FN1" s="191"/>
      <c r="FO1" s="191"/>
      <c r="FP1" s="191"/>
      <c r="FQ1" s="191"/>
      <c r="FR1" s="191"/>
      <c r="FS1" s="190"/>
      <c r="FT1" s="191"/>
      <c r="FU1" s="191"/>
      <c r="FV1" s="191"/>
      <c r="FW1" s="191"/>
      <c r="FX1" s="191"/>
      <c r="FY1" s="191"/>
      <c r="FZ1" s="191"/>
      <c r="GA1" s="191"/>
      <c r="GB1" s="191"/>
      <c r="GC1" s="191"/>
      <c r="GD1" s="192"/>
      <c r="GE1" s="197"/>
      <c r="GF1" s="251"/>
      <c r="GG1" s="251"/>
      <c r="GH1" s="251"/>
      <c r="GI1" s="251"/>
      <c r="GJ1" s="251"/>
      <c r="GK1" s="251"/>
      <c r="GL1" s="251"/>
      <c r="GM1" s="251"/>
      <c r="GN1" s="251"/>
      <c r="GO1" s="251"/>
      <c r="GP1" s="198"/>
      <c r="GQ1" s="118" t="s">
        <v>670</v>
      </c>
      <c r="GR1" s="119"/>
      <c r="GS1" s="119"/>
      <c r="GT1" s="119"/>
      <c r="GU1" s="119"/>
      <c r="GV1" s="119"/>
      <c r="GW1" s="119"/>
      <c r="GX1" s="117"/>
      <c r="GY1" s="117"/>
      <c r="GZ1" s="117"/>
      <c r="HA1" s="117"/>
      <c r="HB1" s="117"/>
      <c r="HC1" s="251" t="s">
        <v>745</v>
      </c>
      <c r="HD1" s="198"/>
      <c r="HE1" s="197"/>
      <c r="HF1" s="251"/>
      <c r="HG1" s="251"/>
      <c r="HH1" s="251"/>
      <c r="HI1" s="251"/>
      <c r="HJ1" s="198"/>
    </row>
    <row r="2" spans="1:218" ht="80.45" customHeight="1">
      <c r="C2" s="298" t="s">
        <v>25</v>
      </c>
      <c r="D2" s="536" t="s">
        <v>746</v>
      </c>
      <c r="E2" s="298" t="s">
        <v>747</v>
      </c>
      <c r="F2" s="298" t="s">
        <v>748</v>
      </c>
      <c r="G2" s="298" t="s">
        <v>749</v>
      </c>
      <c r="H2" s="298" t="s">
        <v>750</v>
      </c>
      <c r="I2" s="298" t="s">
        <v>116</v>
      </c>
      <c r="J2" s="298" t="s">
        <v>117</v>
      </c>
      <c r="K2" s="298" t="s">
        <v>118</v>
      </c>
      <c r="L2" s="36"/>
      <c r="M2" s="36"/>
      <c r="Y2" s="298" t="s">
        <v>60</v>
      </c>
      <c r="Z2" s="298" t="s">
        <v>61</v>
      </c>
      <c r="AA2" s="298" t="s">
        <v>62</v>
      </c>
      <c r="AB2" s="298" t="s">
        <v>119</v>
      </c>
      <c r="AC2" s="537" t="s">
        <v>120</v>
      </c>
      <c r="AD2" s="537" t="s">
        <v>121</v>
      </c>
      <c r="AE2" s="538" t="s">
        <v>122</v>
      </c>
      <c r="AF2" s="538" t="s">
        <v>123</v>
      </c>
      <c r="AG2" s="538" t="s">
        <v>124</v>
      </c>
      <c r="AH2" s="538" t="s">
        <v>125</v>
      </c>
      <c r="AI2" s="250" t="s">
        <v>751</v>
      </c>
      <c r="AJ2" s="230" t="s">
        <v>752</v>
      </c>
      <c r="AK2" s="231" t="s">
        <v>753</v>
      </c>
      <c r="AL2" s="539" t="s">
        <v>126</v>
      </c>
      <c r="AM2" s="539" t="s">
        <v>127</v>
      </c>
      <c r="AN2" s="539" t="s">
        <v>128</v>
      </c>
      <c r="AO2" s="250" t="s">
        <v>129</v>
      </c>
      <c r="AP2" s="230" t="s">
        <v>130</v>
      </c>
      <c r="AQ2" s="230" t="s">
        <v>131</v>
      </c>
      <c r="AR2" s="230" t="s">
        <v>132</v>
      </c>
      <c r="AS2" s="231" t="s">
        <v>133</v>
      </c>
      <c r="AT2" s="250" t="s">
        <v>134</v>
      </c>
      <c r="AU2" s="230" t="s">
        <v>135</v>
      </c>
      <c r="AV2" s="230" t="s">
        <v>136</v>
      </c>
      <c r="AW2" s="230" t="s">
        <v>137</v>
      </c>
      <c r="AX2" s="230" t="s">
        <v>138</v>
      </c>
      <c r="AY2" s="231" t="s">
        <v>139</v>
      </c>
      <c r="AZ2" s="224"/>
      <c r="BA2" s="225"/>
      <c r="BB2" s="225" t="s">
        <v>754</v>
      </c>
      <c r="BC2" s="225" t="s">
        <v>755</v>
      </c>
      <c r="BD2" s="225" t="s">
        <v>756</v>
      </c>
      <c r="BE2" s="225" t="s">
        <v>757</v>
      </c>
      <c r="BF2" s="225" t="s">
        <v>758</v>
      </c>
      <c r="BG2" s="225" t="s">
        <v>759</v>
      </c>
      <c r="BH2" s="225" t="s">
        <v>760</v>
      </c>
      <c r="BI2" s="225" t="s">
        <v>761</v>
      </c>
      <c r="BJ2" s="225" t="s">
        <v>762</v>
      </c>
      <c r="BK2" s="225" t="s">
        <v>763</v>
      </c>
      <c r="BL2" s="226" t="s">
        <v>764</v>
      </c>
      <c r="BM2" s="225" t="s">
        <v>765</v>
      </c>
      <c r="BN2" s="225" t="s">
        <v>766</v>
      </c>
      <c r="BO2" s="225" t="s">
        <v>767</v>
      </c>
      <c r="BP2" s="225" t="s">
        <v>768</v>
      </c>
      <c r="BQ2" s="225" t="s">
        <v>769</v>
      </c>
      <c r="BR2" s="187" t="s">
        <v>770</v>
      </c>
      <c r="BS2" s="175" t="s">
        <v>771</v>
      </c>
      <c r="BT2" s="175"/>
      <c r="BU2" s="175" t="s">
        <v>772</v>
      </c>
      <c r="BV2" s="540" t="s">
        <v>773</v>
      </c>
      <c r="BW2" s="175" t="s">
        <v>774</v>
      </c>
      <c r="BX2" s="175" t="s">
        <v>775</v>
      </c>
      <c r="BY2" s="175" t="s">
        <v>776</v>
      </c>
      <c r="BZ2" s="175"/>
      <c r="CA2" s="232"/>
      <c r="CB2" s="233"/>
      <c r="CC2" s="233"/>
      <c r="CD2" s="233"/>
      <c r="CE2" s="233"/>
      <c r="CF2" s="233"/>
      <c r="CG2" s="233"/>
      <c r="CH2" s="233"/>
      <c r="CI2" s="233"/>
      <c r="CJ2" s="234"/>
      <c r="CK2" s="187"/>
      <c r="CL2" s="175"/>
      <c r="CM2" s="352" t="s">
        <v>685</v>
      </c>
      <c r="CN2" s="153" t="s">
        <v>686</v>
      </c>
      <c r="CO2" s="153" t="s">
        <v>687</v>
      </c>
      <c r="CP2" s="153" t="s">
        <v>688</v>
      </c>
      <c r="CQ2" s="153" t="s">
        <v>689</v>
      </c>
      <c r="CR2" s="153" t="s">
        <v>690</v>
      </c>
      <c r="CS2" s="153" t="s">
        <v>691</v>
      </c>
      <c r="CT2" s="153" t="s">
        <v>692</v>
      </c>
      <c r="CU2" s="153" t="s">
        <v>693</v>
      </c>
      <c r="CV2" s="153" t="s">
        <v>694</v>
      </c>
      <c r="CW2" s="153" t="s">
        <v>695</v>
      </c>
      <c r="CX2" s="153" t="s">
        <v>696</v>
      </c>
      <c r="CY2" s="219" t="s">
        <v>179</v>
      </c>
      <c r="CZ2" s="220" t="s">
        <v>180</v>
      </c>
      <c r="DA2" s="220" t="s">
        <v>181</v>
      </c>
      <c r="DB2" s="220" t="s">
        <v>182</v>
      </c>
      <c r="DC2" s="220" t="s">
        <v>183</v>
      </c>
      <c r="DD2" s="220" t="s">
        <v>184</v>
      </c>
      <c r="DE2" s="220" t="s">
        <v>185</v>
      </c>
      <c r="DF2" s="220" t="s">
        <v>186</v>
      </c>
      <c r="DG2" s="220" t="s">
        <v>187</v>
      </c>
      <c r="DH2" s="220" t="s">
        <v>188</v>
      </c>
      <c r="DI2" s="220" t="s">
        <v>189</v>
      </c>
      <c r="DJ2" s="220" t="s">
        <v>190</v>
      </c>
      <c r="DK2" s="219" t="s">
        <v>191</v>
      </c>
      <c r="DL2" s="220" t="s">
        <v>192</v>
      </c>
      <c r="DM2" s="220" t="s">
        <v>193</v>
      </c>
      <c r="DN2" s="220" t="s">
        <v>194</v>
      </c>
      <c r="DO2" s="220" t="s">
        <v>195</v>
      </c>
      <c r="DP2" s="220" t="s">
        <v>196</v>
      </c>
      <c r="DQ2" s="220" t="s">
        <v>197</v>
      </c>
      <c r="DR2" s="220" t="s">
        <v>198</v>
      </c>
      <c r="DS2" s="220" t="s">
        <v>199</v>
      </c>
      <c r="DT2" s="220" t="s">
        <v>200</v>
      </c>
      <c r="DU2" s="220" t="s">
        <v>201</v>
      </c>
      <c r="DV2" s="220" t="s">
        <v>202</v>
      </c>
      <c r="DW2" s="219" t="s">
        <v>203</v>
      </c>
      <c r="DX2" s="220" t="s">
        <v>204</v>
      </c>
      <c r="DY2" s="220" t="s">
        <v>205</v>
      </c>
      <c r="DZ2" s="220" t="s">
        <v>206</v>
      </c>
      <c r="EA2" s="220" t="s">
        <v>207</v>
      </c>
      <c r="EB2" s="220" t="s">
        <v>208</v>
      </c>
      <c r="EC2" s="220" t="s">
        <v>209</v>
      </c>
      <c r="ED2" s="220" t="s">
        <v>210</v>
      </c>
      <c r="EE2" s="220" t="s">
        <v>211</v>
      </c>
      <c r="EF2" s="220" t="s">
        <v>212</v>
      </c>
      <c r="EG2" s="220" t="s">
        <v>213</v>
      </c>
      <c r="EH2" s="220" t="s">
        <v>214</v>
      </c>
      <c r="EI2" s="248" t="s">
        <v>215</v>
      </c>
      <c r="EJ2" s="249" t="s">
        <v>216</v>
      </c>
      <c r="EK2" s="249" t="s">
        <v>217</v>
      </c>
      <c r="EL2" s="249" t="s">
        <v>218</v>
      </c>
      <c r="EM2" s="249" t="s">
        <v>219</v>
      </c>
      <c r="EN2" s="249" t="s">
        <v>220</v>
      </c>
      <c r="EO2" s="249" t="s">
        <v>221</v>
      </c>
      <c r="EP2" s="249" t="s">
        <v>222</v>
      </c>
      <c r="EQ2" s="249" t="s">
        <v>223</v>
      </c>
      <c r="ER2" s="249" t="s">
        <v>224</v>
      </c>
      <c r="ES2" s="249" t="s">
        <v>225</v>
      </c>
      <c r="ET2" s="249" t="s">
        <v>226</v>
      </c>
      <c r="EU2" s="219" t="s">
        <v>227</v>
      </c>
      <c r="EV2" s="220" t="s">
        <v>228</v>
      </c>
      <c r="EW2" s="220" t="s">
        <v>229</v>
      </c>
      <c r="EX2" s="220" t="s">
        <v>230</v>
      </c>
      <c r="EY2" s="220" t="s">
        <v>231</v>
      </c>
      <c r="EZ2" s="220" t="s">
        <v>232</v>
      </c>
      <c r="FA2" s="220" t="s">
        <v>233</v>
      </c>
      <c r="FB2" s="220" t="s">
        <v>234</v>
      </c>
      <c r="FC2" s="220" t="s">
        <v>235</v>
      </c>
      <c r="FD2" s="220" t="s">
        <v>236</v>
      </c>
      <c r="FE2" s="220" t="s">
        <v>237</v>
      </c>
      <c r="FF2" s="221" t="s">
        <v>238</v>
      </c>
      <c r="FG2" s="249" t="s">
        <v>239</v>
      </c>
      <c r="FH2" s="249" t="s">
        <v>240</v>
      </c>
      <c r="FI2" s="249" t="s">
        <v>241</v>
      </c>
      <c r="FJ2" s="249" t="s">
        <v>242</v>
      </c>
      <c r="FK2" s="249" t="s">
        <v>243</v>
      </c>
      <c r="FL2" s="249" t="s">
        <v>244</v>
      </c>
      <c r="FM2" s="249" t="s">
        <v>245</v>
      </c>
      <c r="FN2" s="249" t="s">
        <v>246</v>
      </c>
      <c r="FO2" s="249" t="s">
        <v>247</v>
      </c>
      <c r="FP2" s="249" t="s">
        <v>248</v>
      </c>
      <c r="FQ2" s="249" t="s">
        <v>249</v>
      </c>
      <c r="FR2" s="249" t="s">
        <v>250</v>
      </c>
      <c r="FS2" s="541" t="s">
        <v>777</v>
      </c>
      <c r="FT2" s="542" t="s">
        <v>778</v>
      </c>
      <c r="FU2" s="542" t="s">
        <v>779</v>
      </c>
      <c r="FV2" s="542" t="s">
        <v>780</v>
      </c>
      <c r="FW2" s="542" t="s">
        <v>781</v>
      </c>
      <c r="FX2" s="542" t="s">
        <v>782</v>
      </c>
      <c r="FY2" s="542" t="s">
        <v>783</v>
      </c>
      <c r="FZ2" s="542" t="s">
        <v>784</v>
      </c>
      <c r="GA2" s="542" t="s">
        <v>785</v>
      </c>
      <c r="GB2" s="542" t="s">
        <v>786</v>
      </c>
      <c r="GC2" s="542" t="s">
        <v>787</v>
      </c>
      <c r="GD2" s="542" t="s">
        <v>788</v>
      </c>
      <c r="GE2" s="149" t="s">
        <v>287</v>
      </c>
      <c r="GF2" s="147" t="s">
        <v>288</v>
      </c>
      <c r="GG2" s="147" t="s">
        <v>289</v>
      </c>
      <c r="GH2" s="147" t="s">
        <v>290</v>
      </c>
      <c r="GI2" s="147" t="s">
        <v>291</v>
      </c>
      <c r="GJ2" s="147" t="s">
        <v>292</v>
      </c>
      <c r="GK2" s="147" t="s">
        <v>293</v>
      </c>
      <c r="GL2" s="147" t="s">
        <v>294</v>
      </c>
      <c r="GM2" s="147" t="s">
        <v>295</v>
      </c>
      <c r="GN2" s="147" t="s">
        <v>296</v>
      </c>
      <c r="GO2" s="147" t="s">
        <v>297</v>
      </c>
      <c r="GP2" s="148" t="s">
        <v>298</v>
      </c>
      <c r="GQ2" s="153" t="s">
        <v>299</v>
      </c>
      <c r="GR2" s="153" t="s">
        <v>300</v>
      </c>
      <c r="GS2" s="352" t="s">
        <v>555</v>
      </c>
      <c r="GT2" s="153" t="s">
        <v>556</v>
      </c>
      <c r="GU2" s="153" t="s">
        <v>557</v>
      </c>
      <c r="GV2" s="353" t="s">
        <v>558</v>
      </c>
      <c r="GW2" s="352"/>
      <c r="GX2" s="153" t="s">
        <v>697</v>
      </c>
      <c r="GY2" s="153" t="s">
        <v>559</v>
      </c>
      <c r="GZ2" s="153" t="s">
        <v>560</v>
      </c>
      <c r="HA2" s="153" t="s">
        <v>698</v>
      </c>
      <c r="HB2" s="153" t="s">
        <v>699</v>
      </c>
      <c r="HC2" s="187" t="s">
        <v>563</v>
      </c>
      <c r="HD2" s="176"/>
      <c r="HE2" s="187"/>
      <c r="HF2" s="175"/>
      <c r="HG2" s="175" t="s">
        <v>567</v>
      </c>
      <c r="HH2" s="175"/>
      <c r="HI2" s="175" t="s">
        <v>789</v>
      </c>
      <c r="HJ2" s="176"/>
    </row>
    <row r="3" spans="1:218" ht="80.45" customHeight="1">
      <c r="A3" s="212" t="s">
        <v>314</v>
      </c>
      <c r="B3" s="188" t="s">
        <v>315</v>
      </c>
      <c r="C3" s="150" t="s">
        <v>316</v>
      </c>
      <c r="D3" s="150" t="s">
        <v>790</v>
      </c>
      <c r="E3" s="150" t="s">
        <v>791</v>
      </c>
      <c r="F3" s="150" t="s">
        <v>792</v>
      </c>
      <c r="G3" s="150" t="s">
        <v>793</v>
      </c>
      <c r="H3" s="150" t="s">
        <v>794</v>
      </c>
      <c r="I3" s="150" t="s">
        <v>116</v>
      </c>
      <c r="J3" s="272" t="s">
        <v>117</v>
      </c>
      <c r="K3" s="543" t="s">
        <v>118</v>
      </c>
      <c r="L3" s="212" t="s">
        <v>581</v>
      </c>
      <c r="M3" s="188" t="s">
        <v>474</v>
      </c>
      <c r="N3" s="188" t="s">
        <v>35</v>
      </c>
      <c r="O3" s="188" t="s">
        <v>41</v>
      </c>
      <c r="P3" s="188" t="s">
        <v>43</v>
      </c>
      <c r="Q3" s="188" t="s">
        <v>37</v>
      </c>
      <c r="R3" s="188" t="s">
        <v>39</v>
      </c>
      <c r="S3" s="188" t="s">
        <v>47</v>
      </c>
      <c r="T3" s="188" t="s">
        <v>50</v>
      </c>
      <c r="U3" s="189" t="s">
        <v>53</v>
      </c>
      <c r="V3" s="188" t="s">
        <v>480</v>
      </c>
      <c r="W3" s="188" t="s">
        <v>55</v>
      </c>
      <c r="X3" s="189" t="s">
        <v>57</v>
      </c>
      <c r="Y3" s="216" t="s">
        <v>321</v>
      </c>
      <c r="Z3" s="150" t="s">
        <v>322</v>
      </c>
      <c r="AA3" s="150" t="s">
        <v>323</v>
      </c>
      <c r="AB3" s="150" t="s">
        <v>324</v>
      </c>
      <c r="AC3" s="150" t="s">
        <v>795</v>
      </c>
      <c r="AD3" s="150" t="s">
        <v>326</v>
      </c>
      <c r="AE3" s="544" t="s">
        <v>327</v>
      </c>
      <c r="AF3" s="544" t="s">
        <v>328</v>
      </c>
      <c r="AG3" s="544" t="s">
        <v>124</v>
      </c>
      <c r="AH3" s="544" t="s">
        <v>125</v>
      </c>
      <c r="AI3" s="545" t="s">
        <v>796</v>
      </c>
      <c r="AJ3" s="546" t="s">
        <v>797</v>
      </c>
      <c r="AK3" s="547" t="s">
        <v>798</v>
      </c>
      <c r="AL3" s="548" t="s">
        <v>332</v>
      </c>
      <c r="AM3" s="548" t="s">
        <v>333</v>
      </c>
      <c r="AN3" s="548" t="s">
        <v>334</v>
      </c>
      <c r="AO3" s="549" t="s">
        <v>335</v>
      </c>
      <c r="AP3" s="548" t="s">
        <v>336</v>
      </c>
      <c r="AQ3" s="548" t="s">
        <v>799</v>
      </c>
      <c r="AR3" s="548" t="s">
        <v>800</v>
      </c>
      <c r="AS3" s="550" t="s">
        <v>583</v>
      </c>
      <c r="AT3" s="549" t="s">
        <v>340</v>
      </c>
      <c r="AU3" s="548" t="s">
        <v>341</v>
      </c>
      <c r="AV3" s="548" t="s">
        <v>342</v>
      </c>
      <c r="AW3" s="548" t="s">
        <v>343</v>
      </c>
      <c r="AX3" s="548" t="s">
        <v>344</v>
      </c>
      <c r="AY3" s="550" t="s">
        <v>345</v>
      </c>
      <c r="AZ3" s="219" t="s">
        <v>676</v>
      </c>
      <c r="BA3" s="220" t="s">
        <v>150</v>
      </c>
      <c r="BB3" s="220" t="s">
        <v>801</v>
      </c>
      <c r="BC3" s="220" t="s">
        <v>802</v>
      </c>
      <c r="BD3" s="220" t="s">
        <v>584</v>
      </c>
      <c r="BE3" s="220" t="s">
        <v>803</v>
      </c>
      <c r="BF3" s="220" t="s">
        <v>804</v>
      </c>
      <c r="BG3" s="220" t="s">
        <v>759</v>
      </c>
      <c r="BH3" s="220" t="s">
        <v>760</v>
      </c>
      <c r="BI3" s="220" t="s">
        <v>761</v>
      </c>
      <c r="BJ3" s="220" t="s">
        <v>762</v>
      </c>
      <c r="BK3" s="220" t="s">
        <v>763</v>
      </c>
      <c r="BL3" s="221" t="s">
        <v>764</v>
      </c>
      <c r="BM3" s="220" t="s">
        <v>805</v>
      </c>
      <c r="BN3" s="220" t="s">
        <v>806</v>
      </c>
      <c r="BO3" s="220" t="s">
        <v>807</v>
      </c>
      <c r="BP3" s="220" t="s">
        <v>808</v>
      </c>
      <c r="BQ3" s="220" t="s">
        <v>809</v>
      </c>
      <c r="BR3" s="144" t="s">
        <v>810</v>
      </c>
      <c r="BS3" s="145" t="s">
        <v>596</v>
      </c>
      <c r="BT3" s="145" t="s">
        <v>811</v>
      </c>
      <c r="BU3" s="145" t="s">
        <v>772</v>
      </c>
      <c r="BV3" s="145" t="s">
        <v>773</v>
      </c>
      <c r="BW3" s="145" t="s">
        <v>774</v>
      </c>
      <c r="BX3" s="145" t="s">
        <v>775</v>
      </c>
      <c r="BY3" s="145" t="s">
        <v>812</v>
      </c>
      <c r="BZ3" s="145" t="s">
        <v>813</v>
      </c>
      <c r="CA3" s="241" t="s">
        <v>712</v>
      </c>
      <c r="CB3" s="242" t="s">
        <v>617</v>
      </c>
      <c r="CC3" s="242" t="s">
        <v>372</v>
      </c>
      <c r="CD3" s="242" t="s">
        <v>373</v>
      </c>
      <c r="CE3" s="242" t="s">
        <v>374</v>
      </c>
      <c r="CF3" s="242" t="s">
        <v>375</v>
      </c>
      <c r="CG3" s="242" t="s">
        <v>376</v>
      </c>
      <c r="CH3" s="242" t="s">
        <v>377</v>
      </c>
      <c r="CI3" s="242" t="s">
        <v>378</v>
      </c>
      <c r="CJ3" s="243" t="s">
        <v>379</v>
      </c>
      <c r="CK3" s="244" t="s">
        <v>620</v>
      </c>
      <c r="CL3" s="245" t="s">
        <v>814</v>
      </c>
      <c r="CM3" s="241" t="s">
        <v>685</v>
      </c>
      <c r="CN3" s="242" t="s">
        <v>686</v>
      </c>
      <c r="CO3" s="242" t="s">
        <v>687</v>
      </c>
      <c r="CP3" s="242" t="s">
        <v>688</v>
      </c>
      <c r="CQ3" s="242" t="s">
        <v>689</v>
      </c>
      <c r="CR3" s="242" t="s">
        <v>690</v>
      </c>
      <c r="CS3" s="242" t="s">
        <v>691</v>
      </c>
      <c r="CT3" s="242" t="s">
        <v>692</v>
      </c>
      <c r="CU3" s="242" t="s">
        <v>693</v>
      </c>
      <c r="CV3" s="242" t="s">
        <v>694</v>
      </c>
      <c r="CW3" s="242" t="s">
        <v>695</v>
      </c>
      <c r="CX3" s="242" t="s">
        <v>696</v>
      </c>
      <c r="CY3" s="367" t="s">
        <v>634</v>
      </c>
      <c r="CZ3" s="366" t="s">
        <v>635</v>
      </c>
      <c r="DA3" s="366" t="s">
        <v>636</v>
      </c>
      <c r="DB3" s="366" t="s">
        <v>637</v>
      </c>
      <c r="DC3" s="366" t="s">
        <v>638</v>
      </c>
      <c r="DD3" s="366" t="s">
        <v>639</v>
      </c>
      <c r="DE3" s="366" t="s">
        <v>640</v>
      </c>
      <c r="DF3" s="366" t="s">
        <v>641</v>
      </c>
      <c r="DG3" s="366" t="s">
        <v>642</v>
      </c>
      <c r="DH3" s="366" t="s">
        <v>643</v>
      </c>
      <c r="DI3" s="366" t="s">
        <v>644</v>
      </c>
      <c r="DJ3" s="366" t="s">
        <v>645</v>
      </c>
      <c r="DK3" s="367" t="s">
        <v>406</v>
      </c>
      <c r="DL3" s="366" t="s">
        <v>407</v>
      </c>
      <c r="DM3" s="366" t="s">
        <v>408</v>
      </c>
      <c r="DN3" s="366" t="s">
        <v>409</v>
      </c>
      <c r="DO3" s="366" t="s">
        <v>410</v>
      </c>
      <c r="DP3" s="366" t="s">
        <v>411</v>
      </c>
      <c r="DQ3" s="366" t="s">
        <v>412</v>
      </c>
      <c r="DR3" s="366" t="s">
        <v>413</v>
      </c>
      <c r="DS3" s="366" t="s">
        <v>414</v>
      </c>
      <c r="DT3" s="366" t="s">
        <v>415</v>
      </c>
      <c r="DU3" s="366" t="s">
        <v>416</v>
      </c>
      <c r="DV3" s="366" t="s">
        <v>417</v>
      </c>
      <c r="DW3" s="367" t="s">
        <v>203</v>
      </c>
      <c r="DX3" s="366" t="s">
        <v>204</v>
      </c>
      <c r="DY3" s="366" t="s">
        <v>205</v>
      </c>
      <c r="DZ3" s="366" t="s">
        <v>206</v>
      </c>
      <c r="EA3" s="366" t="s">
        <v>207</v>
      </c>
      <c r="EB3" s="366" t="s">
        <v>208</v>
      </c>
      <c r="EC3" s="366" t="s">
        <v>209</v>
      </c>
      <c r="ED3" s="366" t="s">
        <v>210</v>
      </c>
      <c r="EE3" s="366" t="s">
        <v>211</v>
      </c>
      <c r="EF3" s="366" t="s">
        <v>212</v>
      </c>
      <c r="EG3" s="366" t="s">
        <v>213</v>
      </c>
      <c r="EH3" s="366" t="s">
        <v>214</v>
      </c>
      <c r="EI3" s="367" t="s">
        <v>418</v>
      </c>
      <c r="EJ3" s="366" t="s">
        <v>419</v>
      </c>
      <c r="EK3" s="366" t="s">
        <v>420</v>
      </c>
      <c r="EL3" s="366" t="s">
        <v>421</v>
      </c>
      <c r="EM3" s="366" t="s">
        <v>422</v>
      </c>
      <c r="EN3" s="366" t="s">
        <v>423</v>
      </c>
      <c r="EO3" s="366" t="s">
        <v>424</v>
      </c>
      <c r="EP3" s="366" t="s">
        <v>425</v>
      </c>
      <c r="EQ3" s="366" t="s">
        <v>426</v>
      </c>
      <c r="ER3" s="366" t="s">
        <v>427</v>
      </c>
      <c r="ES3" s="366" t="s">
        <v>428</v>
      </c>
      <c r="ET3" s="366" t="s">
        <v>429</v>
      </c>
      <c r="EU3" s="367" t="s">
        <v>227</v>
      </c>
      <c r="EV3" s="366" t="s">
        <v>228</v>
      </c>
      <c r="EW3" s="366" t="s">
        <v>229</v>
      </c>
      <c r="EX3" s="366" t="s">
        <v>230</v>
      </c>
      <c r="EY3" s="366" t="s">
        <v>231</v>
      </c>
      <c r="EZ3" s="366" t="s">
        <v>232</v>
      </c>
      <c r="FA3" s="366" t="s">
        <v>233</v>
      </c>
      <c r="FB3" s="366" t="s">
        <v>234</v>
      </c>
      <c r="FC3" s="366" t="s">
        <v>235</v>
      </c>
      <c r="FD3" s="366" t="s">
        <v>236</v>
      </c>
      <c r="FE3" s="366" t="s">
        <v>237</v>
      </c>
      <c r="FF3" s="368" t="s">
        <v>238</v>
      </c>
      <c r="FG3" s="366" t="s">
        <v>239</v>
      </c>
      <c r="FH3" s="366" t="s">
        <v>240</v>
      </c>
      <c r="FI3" s="366" t="s">
        <v>241</v>
      </c>
      <c r="FJ3" s="366" t="s">
        <v>242</v>
      </c>
      <c r="FK3" s="366" t="s">
        <v>243</v>
      </c>
      <c r="FL3" s="366" t="s">
        <v>244</v>
      </c>
      <c r="FM3" s="366" t="s">
        <v>245</v>
      </c>
      <c r="FN3" s="366" t="s">
        <v>246</v>
      </c>
      <c r="FO3" s="366" t="s">
        <v>247</v>
      </c>
      <c r="FP3" s="366" t="s">
        <v>248</v>
      </c>
      <c r="FQ3" s="366" t="s">
        <v>249</v>
      </c>
      <c r="FR3" s="366" t="s">
        <v>250</v>
      </c>
      <c r="FS3" s="551" t="s">
        <v>777</v>
      </c>
      <c r="FT3" s="552" t="s">
        <v>778</v>
      </c>
      <c r="FU3" s="552" t="s">
        <v>779</v>
      </c>
      <c r="FV3" s="552" t="s">
        <v>780</v>
      </c>
      <c r="FW3" s="552" t="s">
        <v>781</v>
      </c>
      <c r="FX3" s="552" t="s">
        <v>782</v>
      </c>
      <c r="FY3" s="552" t="s">
        <v>783</v>
      </c>
      <c r="FZ3" s="552" t="s">
        <v>784</v>
      </c>
      <c r="GA3" s="552" t="s">
        <v>785</v>
      </c>
      <c r="GB3" s="552" t="s">
        <v>786</v>
      </c>
      <c r="GC3" s="552" t="s">
        <v>787</v>
      </c>
      <c r="GD3" s="552" t="s">
        <v>788</v>
      </c>
      <c r="GE3" s="551" t="s">
        <v>287</v>
      </c>
      <c r="GF3" s="552" t="s">
        <v>288</v>
      </c>
      <c r="GG3" s="552" t="s">
        <v>289</v>
      </c>
      <c r="GH3" s="552" t="s">
        <v>290</v>
      </c>
      <c r="GI3" s="552" t="s">
        <v>291</v>
      </c>
      <c r="GJ3" s="552" t="s">
        <v>292</v>
      </c>
      <c r="GK3" s="552" t="s">
        <v>293</v>
      </c>
      <c r="GL3" s="552" t="s">
        <v>294</v>
      </c>
      <c r="GM3" s="552" t="s">
        <v>295</v>
      </c>
      <c r="GN3" s="552" t="s">
        <v>296</v>
      </c>
      <c r="GO3" s="552" t="s">
        <v>297</v>
      </c>
      <c r="GP3" s="553" t="s">
        <v>298</v>
      </c>
      <c r="GQ3" s="220" t="s">
        <v>430</v>
      </c>
      <c r="GR3" s="220" t="s">
        <v>431</v>
      </c>
      <c r="GS3" s="219" t="s">
        <v>432</v>
      </c>
      <c r="GT3" s="220" t="s">
        <v>433</v>
      </c>
      <c r="GU3" s="220" t="s">
        <v>435</v>
      </c>
      <c r="GV3" s="221" t="s">
        <v>436</v>
      </c>
      <c r="GW3" s="219" t="s">
        <v>714</v>
      </c>
      <c r="GX3" s="220" t="s">
        <v>715</v>
      </c>
      <c r="GY3" s="220" t="s">
        <v>646</v>
      </c>
      <c r="GZ3" s="220" t="s">
        <v>647</v>
      </c>
      <c r="HA3" s="220" t="s">
        <v>716</v>
      </c>
      <c r="HB3" s="220" t="s">
        <v>717</v>
      </c>
      <c r="HC3" s="144" t="s">
        <v>444</v>
      </c>
      <c r="HD3" s="146" t="s">
        <v>445</v>
      </c>
      <c r="HE3" s="144" t="s">
        <v>446</v>
      </c>
      <c r="HF3" s="145" t="s">
        <v>447</v>
      </c>
      <c r="HG3" s="145" t="s">
        <v>448</v>
      </c>
      <c r="HH3" s="145" t="s">
        <v>449</v>
      </c>
      <c r="HI3" s="145" t="s">
        <v>815</v>
      </c>
      <c r="HJ3" s="146" t="s">
        <v>816</v>
      </c>
    </row>
    <row r="4" spans="1:218" ht="16.5" customHeight="1">
      <c r="A4" s="484">
        <f>Hotel_Target_Energy</f>
        <v>0</v>
      </c>
      <c r="B4" s="484">
        <f>Hotel_Target_Water</f>
        <v>0</v>
      </c>
      <c r="C4" s="485">
        <f>Hotel_Postcode</f>
        <v>0</v>
      </c>
      <c r="D4" s="485">
        <f t="shared" ref="D4" si="0">Hotel_AAA_Star_Rating</f>
        <v>0</v>
      </c>
      <c r="E4" s="486">
        <f t="shared" ref="E4" si="1">Hotel_Guest_Rooms</f>
        <v>0</v>
      </c>
      <c r="F4" s="486">
        <f t="shared" ref="F4" si="2">Hotel_Full_Laundry_Rooms</f>
        <v>0</v>
      </c>
      <c r="G4" s="486">
        <f t="shared" ref="G4" si="3">Hotel_Function_Room_Seats</f>
        <v>0</v>
      </c>
      <c r="H4" s="488">
        <f t="shared" ref="H4" si="4">Hotel_Heated_Pool_Area</f>
        <v>0</v>
      </c>
      <c r="I4" s="487">
        <f>Hotel_Elec_Percent</f>
        <v>0</v>
      </c>
      <c r="J4" s="487">
        <f>Hotel_Gas_Percent</f>
        <v>0</v>
      </c>
      <c r="K4" s="487">
        <f>Hotel_Diesel_Percent</f>
        <v>0</v>
      </c>
      <c r="L4" s="554">
        <f>tbl_Hotel_Multi[[#This Row],[Target Residual (p)]]</f>
        <v>0.71261984970199532</v>
      </c>
      <c r="M4" s="42" t="e">
        <f>tbl_Hotel_Multi[[#This Row],[Total Predicted Emissions (from A unrounded)]]</f>
        <v>#N/A</v>
      </c>
      <c r="N4" s="42" t="e">
        <f>tbl_Hotel_Multi[[#This Row],[Target Max CO2]]</f>
        <v>#N/A</v>
      </c>
      <c r="O4" s="378" t="e">
        <f>tbl_Hotel_Multi[[#This Row],[Target Max e]]</f>
        <v>#N/A</v>
      </c>
      <c r="P4" s="378" t="e">
        <f>tbl_Hotel_Multi[[#This Row],[Target Max Energy Intensity]]</f>
        <v>#N/A</v>
      </c>
      <c r="Q4" s="42" t="e">
        <f>tbl_Hotel_Multi[[#This Row],[Target Scopes 1,2&amp;3]]</f>
        <v>#N/A</v>
      </c>
      <c r="R4" s="42" t="e">
        <f>tbl_Hotel_Multi[[#This Row],[Target Scopes 1&amp;2]]</f>
        <v>#N/A</v>
      </c>
      <c r="S4" s="42" t="e">
        <f>tbl_Hotel_Multi[[#This Row],[Target Max Elec (kWh)]]</f>
        <v>#N/A</v>
      </c>
      <c r="T4" s="42" t="e">
        <f>tbl_Hotel_Multi[[#This Row],[Target Max Gas (MJ)]]</f>
        <v>#N/A</v>
      </c>
      <c r="U4" s="42" t="e">
        <f>tbl_Hotel_Multi[[#This Row],[Target Max Diesel (L)]]</f>
        <v>#N/A</v>
      </c>
      <c r="V4" s="42" t="e">
        <f>tbl_Hotel_Multi[[#This Row],[Predicted Total Water Consumption]]</f>
        <v>#DIV/0!</v>
      </c>
      <c r="W4" s="42" t="e">
        <f>tbl_Hotel_Multi[[#This Row],[Target Max Water (kL)]]</f>
        <v>#DIV/0!</v>
      </c>
      <c r="X4" s="378" t="e">
        <f>tbl_Hotel_Multi[[#This Row],[Target max Water (kL/room)]]</f>
        <v>#DIV/0!</v>
      </c>
      <c r="Y4" s="285">
        <f>Hotel_Elec_FWD</f>
        <v>0</v>
      </c>
      <c r="Z4" s="285">
        <f>Hotel_Gas_FWD</f>
        <v>0</v>
      </c>
      <c r="AA4" s="285">
        <f>Hotel_Diesel_FWD</f>
        <v>0</v>
      </c>
      <c r="AB4" s="43">
        <f>Hotel_GreenPower_Percent_FWD</f>
        <v>0</v>
      </c>
      <c r="AC4" s="285">
        <f>Hotel_Water_FWD</f>
        <v>0</v>
      </c>
      <c r="AD4" s="43">
        <f>Hotel_RW_Percent_FWD</f>
        <v>0</v>
      </c>
      <c r="AE4" s="45" t="e">
        <f>INDEX(tbl_Climate_Lookup[],MATCH(tbl_Hotel_Multi[[Postcode]:[Postcode]],tbl_Climate_Lookup[[Postcode]:[Postcode]],0),MATCH(tbl_Hotel_Multi[[#Headers],[State]],tbl_Climate_Lookup[#Headers],0))</f>
        <v>#N/A</v>
      </c>
      <c r="AF4" s="45" t="e">
        <f>INDEX(tbl_Climate_Lookup[],MATCH(tbl_Hotel_Multi[[Postcode]:[Postcode]],tbl_Climate_Lookup[[Postcode]:[Postcode]],0),MATCH(tbl_Hotel_Multi[[#Headers],[Climate zone]],tbl_Climate_Lookup[#Headers],0))</f>
        <v>#N/A</v>
      </c>
      <c r="AG4" s="169" t="e">
        <f>INDEX(tbl_Climate_Lookup[],MATCH(tbl_Hotel_Multi[[Postcode]:[Postcode]],tbl_Climate_Lookup[[Postcode]:[Postcode]],0),MATCH(tbl_Hotel_Multi[[#Headers],[HDD]],tbl_Climate_Lookup[#Headers],0))</f>
        <v>#N/A</v>
      </c>
      <c r="AH4" s="169" t="e">
        <f>INDEX(tbl_Climate_Lookup[],MATCH(tbl_Hotel_Multi[[Postcode]:[Postcode]],tbl_Climate_Lookup[[Postcode]:[Postcode]],0),MATCH(tbl_Hotel_Multi[[#Headers],[CDD]],tbl_Climate_Lookup[#Headers],0))</f>
        <v>#N/A</v>
      </c>
      <c r="AI4" s="45" t="e">
        <f>INDEX(tbl_SGE_Hotel_2008[],MATCH(tbl_Hotel_Multi[[State]:[State]],tbl_SGE_Hotel_2008[[State]:[State]],0),MATCH(tbl_Hotel_Multi[[#Headers],[SGEe2008]],tbl_SGE_Hotel_2008[#Headers],0))</f>
        <v>#N/A</v>
      </c>
      <c r="AJ4" s="45" t="e">
        <f>INDEX(tbl_SGE_Hotel_2008[],MATCH(tbl_Hotel_Multi[[State]:[State]],tbl_SGE_Hotel_2008[[State]:[State]],0),MATCH(tbl_Hotel_Multi[[#Headers],[SGEg2008]],tbl_SGE_Hotel_2008[#Headers],0))</f>
        <v>#N/A</v>
      </c>
      <c r="AK4" s="45" t="e">
        <f>INDEX(tbl_SGE_Hotel_2008[],MATCH(tbl_Hotel_Multi[[State]:[State]],tbl_SGE_Hotel_2008[[State]:[State]],0),MATCH(tbl_Hotel_Multi[[#Headers],[SGEd2008]],tbl_SGE_Hotel_2008[#Headers],0))</f>
        <v>#N/A</v>
      </c>
      <c r="AL4" s="45" t="e">
        <f>INDEX(tbl_SGE_2020[],MATCH(tbl_Hotel_Multi[[State]:[State]],tbl_SGE_2020[[State]:[State]],0),MATCH(tbl_Hotel_Multi[[#Headers],[SGEe]],tbl_SGE_2020[#Headers],0))</f>
        <v>#N/A</v>
      </c>
      <c r="AM4" s="45" t="e">
        <f>INDEX(tbl_SGE_2020[],MATCH(tbl_Hotel_Multi[[State]:[State]],tbl_SGE_2020[[State]:[State]],0),MATCH(tbl_Hotel_Multi[[#Headers],[SGEg]],tbl_SGE_2020[#Headers],0))</f>
        <v>#N/A</v>
      </c>
      <c r="AN4" s="45" t="e">
        <f>INDEX(tbl_SGE_2020[],MATCH(tbl_Hotel_Multi[[State]:[State]],tbl_SGE_2020[[State]:[State]],0),MATCH(tbl_Hotel_Multi[[#Headers],[SGEd]],tbl_SGE_2020[#Headers],0))</f>
        <v>#N/A</v>
      </c>
      <c r="AO4" s="45">
        <f>INDEX(tbl_Conversion_Factors[[Conversion Factors]:[Conversion Factors]],MATCH(tbl_Hotel_Multi[[#Headers],[CFelec]],tbl_Conversion_Factors[[Reference]:[Reference]],0))</f>
        <v>3.6</v>
      </c>
      <c r="AP4" s="45">
        <f>INDEX(tbl_Conversion_Factors[[Conversion Factors]:[Conversion Factors]],MATCH(tbl_Hotel_Multi[[#Headers],[CFdiesel]],tbl_Conversion_Factors[[Reference]:[Reference]],0))</f>
        <v>38.6</v>
      </c>
      <c r="AQ4" s="45" t="e">
        <f>tbl_Hotel_Multi[[#This Row],[SGEe]]/tbl_Hotel_Multi[[#This Row],[CFelec]]</f>
        <v>#N/A</v>
      </c>
      <c r="AR4" s="45" t="e">
        <f>tbl_Hotel_Multi[[#This Row],[SGEd]]/tbl_Hotel_Multi[[#This Row],[CFdiesel]]</f>
        <v>#N/A</v>
      </c>
      <c r="AS4" s="46">
        <f>IF(SUM(tbl_Hotel_Multi[[#This Row],[Electricity (%)]:[Diesel (%)]])=1,
SUM(tbl_Hotel_Multi[[#This Row],[Electricity (%)]]*tbl_Hotel_Multi[[#This Row],[SGEeMJ]],
tbl_Hotel_Multi[[#This Row],[Gas (%)]]*tbl_Hotel_Multi[[#This Row],[SGEg]],
tbl_Hotel_Multi[[#This Row],[Diesel (%)]]*tbl_Hotel_Multi[[#This Row],[SGEdMJ]]),
0)</f>
        <v>0</v>
      </c>
      <c r="AT4" s="46" t="e">
        <f>INDEX(tbl_NGA_Factors_2021[],MATCH(tbl_Hotel_Multi[[State]:[State]],tbl_NGA_Factors_2021[[State]:[State]],0),MATCH(tbl_Hotel_Multi[[#Headers],[SGEe Scopes 1,2&amp;3]],tbl_NGA_Factors_2021[#Headers],0))</f>
        <v>#N/A</v>
      </c>
      <c r="AU4" s="46" t="e">
        <f>INDEX(tbl_NGA_Factors_2021[],MATCH(tbl_Hotel_Multi[[State]:[State]],tbl_NGA_Factors_2021[[State]:[State]],0),MATCH(tbl_Hotel_Multi[[#Headers],[SGEg Scopes 1,2&amp;3]],tbl_NGA_Factors_2021[#Headers],0))</f>
        <v>#N/A</v>
      </c>
      <c r="AV4" s="46" t="e">
        <f>INDEX(tbl_NGA_Factors_2021[],MATCH(tbl_Hotel_Multi[[State]:[State]],tbl_NGA_Factors_2021[[State]:[State]],0),MATCH(tbl_Hotel_Multi[[#Headers],[SGEd Scopes 1,2&amp;3]],tbl_NGA_Factors_2021[#Headers],0))</f>
        <v>#N/A</v>
      </c>
      <c r="AW4" s="46" t="e">
        <f>INDEX(tbl_NGA_Factors_2021[],MATCH(tbl_Hotel_Multi[[State]:[State]],tbl_NGA_Factors_2021[[State]:[State]],0),MATCH(tbl_Hotel_Multi[[#Headers],[SGEe Scopes 1&amp;2]],tbl_NGA_Factors_2021[#Headers],0))</f>
        <v>#N/A</v>
      </c>
      <c r="AX4" s="46" t="e">
        <f>INDEX(tbl_NGA_Factors_2021[],MATCH(tbl_Hotel_Multi[[State]:[State]],tbl_NGA_Factors_2021[[State]:[State]],0),MATCH(tbl_Hotel_Multi[[#Headers],[SGEg Scopes 1&amp;2]],tbl_NGA_Factors_2021[#Headers],0))</f>
        <v>#N/A</v>
      </c>
      <c r="AY4" s="46" t="e">
        <f>INDEX(tbl_NGA_Factors_2021[],MATCH(tbl_Hotel_Multi[[State]:[State]],tbl_NGA_Factors_2021[[State]:[State]],0),MATCH(tbl_Hotel_Multi[[#Headers],[SGEd Scopes 1&amp;2]],tbl_NGA_Factors_2021[#Headers],0))</f>
        <v>#N/A</v>
      </c>
      <c r="AZ4" s="169" t="e">
        <f>tbl_Hotel_Multi[[#This Row],[er]]*tbl_Hotel_Multi[[#This Row],[Rooms]]</f>
        <v>#N/A</v>
      </c>
      <c r="BA4" s="262" t="e">
        <f>ROUND(INDEX(tbl_GHG_State_Factor[Hotel],MATCH(tbl_Hotel_Multi[[#This Row],[State]],tbl_GHG_State_Factor[Premise state],0)),3)</f>
        <v>#N/A</v>
      </c>
      <c r="BB4" s="45" t="e">
        <f>SUM(tbl_Hotel_Multi[[#This Row],[9.8*HDD]],tbl_Hotel_Multi[[#This Row],[23087*nfsl/N]],tbl_Hotel_Multi[[#This Row],[10692*Aheatedpool/N]])*tbl_Hotel_Multi[[#This Row],[SGEg2008]]</f>
        <v>#N/A</v>
      </c>
      <c r="BC4" s="45" t="e">
        <f>SUM(tbl_Hotel_Multi[[#This Row],[2.551*CDD]],tbl_Hotel_Multi[[#This Row],[4723*(S-2)]],tbl_Hotel_Multi[[#This Row],[1212*nfuncseats/N]],1176)*tbl_Hotel_Multi[[#This Row],[SGEe2008]]/Hotel_C_E_GGeneral_elec</f>
        <v>#N/A</v>
      </c>
      <c r="BD4" s="45" t="e">
        <f>SUM(tbl_Hotel_Multi[[#This Row],[Ggas2008]],tbl_Hotel_Multi[[#This Row],[Ggeneral2008]])*tbl_Hotel_Multi[[#This Row],[A]]</f>
        <v>#N/A</v>
      </c>
      <c r="BE4" s="45" t="e">
        <f>(tbl_Hotel_Multi[[#This Row],[Ggas2008]]+tbl_Hotel_Multi[[#This Row],[Ggeneral2008]])*tbl_Hotel_Multi[[#This Row],[A unrounded]]</f>
        <v>#N/A</v>
      </c>
      <c r="BF4" s="45" t="e">
        <f>(tbl_Hotel_Multi[[#This Row],[Ggas2008]]+tbl_Hotel_Multi[[#This Row],[Ggeneral2008]])*tbl_Hotel_Multi[[#This Row],[Zy]]</f>
        <v>#N/A</v>
      </c>
      <c r="BG4" s="45" t="e">
        <f>Hotel_C_E_HDD*tbl_Hotel_Multi[[#This Row],[HDD]]</f>
        <v>#N/A</v>
      </c>
      <c r="BH4" s="45" t="e">
        <f>Hotel_C_E_Nfsl*tbl_Hotel_Multi[[#This Row],[nfsl]]/tbl_Hotel_Multi[[#This Row],[Rooms]]</f>
        <v>#DIV/0!</v>
      </c>
      <c r="BI4" s="45" t="e">
        <f>Hotel_C_E_Pool*tbl_Hotel_Multi[[#This Row],[Aheatedpool]]/tbl_Hotel_Multi[[#This Row],[Rooms]]</f>
        <v>#DIV/0!</v>
      </c>
      <c r="BJ4" s="45" t="e">
        <f>Hotel_C_E_Cooling*tbl_Hotel_Multi[[#This Row],[CDD]]</f>
        <v>#N/A</v>
      </c>
      <c r="BK4" s="45">
        <f>Hotel_C_E_AAA_Rating*(tbl_Hotel_Multi[[#This Row],[AAAStar]]-2)</f>
        <v>-9446</v>
      </c>
      <c r="BL4" s="45" t="e">
        <f>Hotel_C_E_Function_Seats*tbl_Hotel_Multi[[#This Row],[nfuncseats]]/tbl_Hotel_Multi[[#This Row],[Rooms]]</f>
        <v>#DIV/0!</v>
      </c>
      <c r="BM4" s="169" t="e">
        <f>tbl_Hotel_Multi[[#This Row],[er (from A unrounded)]]*tbl_Hotel_Multi[[#This Row],[Rooms]]</f>
        <v>#N/A</v>
      </c>
      <c r="BN4" s="169" t="e">
        <f>tbl_Hotel_Multi[[#This Row],[er (from Zy)]]*tbl_Hotel_Multi[[#This Row],[Rooms]]</f>
        <v>#N/A</v>
      </c>
      <c r="BO4" s="45" t="e">
        <f>INDEX(tbl_GHG_State_Factor[Hotel],MATCH(tbl_Hotel_Multi[[#This Row],[State]],tbl_GHG_State_Factor[Premise state],0))</f>
        <v>#N/A</v>
      </c>
      <c r="BP4" s="45" t="e">
        <f>(tbl_Hotel_Multi[[#This Row],[SGEg]]*tbl_Hotel_Multi[[#This Row],[FF]]+tbl_Hotel_Multi[[#This Row],[SGEe]]/tbl_Hotel_Multi[[#This Row],[CFelec]]*(1-tbl_Hotel_Multi[[#This Row],[FF]]))/(tbl_Hotel_Multi[[#This Row],[SGEg2008]]*tbl_Hotel_Multi[[#This Row],[FF]]+tbl_Hotel_Multi[[#This Row],[SGEe2008]]/tbl_Hotel_Multi[[#This Row],[CFelec]]*(1-tbl_Hotel_Multi[[#This Row],[FF]]))</f>
        <v>#N/A</v>
      </c>
      <c r="BQ4" s="45">
        <f>INDEX(tbl_FF_Lookup[FF],MATCH("Hotels",tbl_FF_Lookup[Tool],0))</f>
        <v>0.36</v>
      </c>
      <c r="BR4" s="36" t="e">
        <f>tbl_Hotel_Multi[[#This Row],[wr]]*tbl_Hotel_Multi[[#This Row],[Rooms]]</f>
        <v>#DIV/0!</v>
      </c>
      <c r="BS4" s="36" t="e">
        <f>Hotel_C_W_Offset+tbl_Hotel_Multi[[#This Row],[61.28*nfsl/N]]+tbl_Hotel_Multi[[#This Row],[19.24*(S-2)]]+tbl_Hotel_Multi[[#This Row],[0.0338*CDD]]+tbl_Hotel_Multi[[#This Row],[13.84*nfuncseats/N]]</f>
        <v>#DIV/0!</v>
      </c>
      <c r="BT4" s="36" t="e">
        <f>Hotel_C_W_Offset+tbl_Hotel_Multi[[#This Row],[61.28*nfsl/N]]+tbl_Hotel_Multi[[#This Row],[19.24*(S-2)]]+tbl_Hotel_Multi[[#This Row],[13.84*nfuncseats/N]]</f>
        <v>#DIV/0!</v>
      </c>
      <c r="BU4" s="36" t="e">
        <f>Hotel_C_W_Nfsl*tbl_Hotel_Multi[[#This Row],[nfsl]]/tbl_Hotel_Multi[[#This Row],[Rooms]]</f>
        <v>#DIV/0!</v>
      </c>
      <c r="BV4" s="38">
        <f>Hotel_C_W_AAA_Rating*(tbl_Hotel_Multi[[#This Row],[AAAStar]]-2)</f>
        <v>-38.479999999999997</v>
      </c>
      <c r="BW4" s="36" t="e">
        <f>Hotel_C_W_Cooling*tbl_Hotel_Multi[[#This Row],[CDD]]</f>
        <v>#N/A</v>
      </c>
      <c r="BX4" s="36" t="e">
        <f>Hotel_C_W_Function_Seats*tbl_Hotel_Multi[[#This Row],[nfuncseats]]/tbl_Hotel_Multi[[#This Row],[Rooms]]</f>
        <v>#DIV/0!</v>
      </c>
      <c r="BY4" s="36">
        <f t="shared" ref="BY4:BY6" si="5">(1+(5-Hotel_C_W_5_star_ref-Hotel_C_W_Median_Rating)/Hotel_C_W_Rating_Coefficient)</f>
        <v>0.39203977410900048</v>
      </c>
      <c r="BZ4" s="36" t="e">
        <f>tbl_Hotel_Multi[[#This Row],[5 starCDD0 parameter calc]]*tbl_Hotel_Multi[[#This Row],[wr,CDD=0]]</f>
        <v>#DIV/0!</v>
      </c>
      <c r="CA4" s="48">
        <f>IF(tbl_Hotel_Multi[[#This Row],[Target Energy]]&gt;5,(tbl_Hotel_Multi[[#This Row],[Target Energy]]-Hotel_C_Reverse_Star_Band_Residual_Adjustment-Hotel_C_E_Median_R_above_5_stars)/(Hotel_C_E_Rating_Coefficient_above_5_stars),(tbl_Hotel_Multi[[#This Row],[Target Energy]]-Hotel_C_Reverse_Star_Band_Residual_Adjustment-Hotel_C_E_Median_Rating)/(Hotel_C_E_Rating_Coefficient))</f>
        <v>0.71261984970199532</v>
      </c>
      <c r="CB4" s="44" t="e">
        <f>tbl_Hotel_Multi[[#This Row],[er]]*(tbl_Hotel_Multi[[#This Row],[Target Residual (p)]]+1)</f>
        <v>#N/A</v>
      </c>
      <c r="CC4" s="44" t="e">
        <f>tbl_Hotel_Multi[[#This Row],[Target Max e]]*tbl_Hotel_Multi[[#This Row],[Rooms]]</f>
        <v>#N/A</v>
      </c>
      <c r="CD4" s="44" t="e">
        <f>tbl_Hotel_Multi[[#This Row],[Target Max CO2]]/tbl_Hotel_Multi[[#This Row],[EffGHG]]</f>
        <v>#N/A</v>
      </c>
      <c r="CE4" s="44" t="e">
        <f>tbl_Hotel_Multi[[#This Row],[Target Max Energy (MJ)]]/tbl_Hotel_Multi[[#This Row],[Rooms]]</f>
        <v>#N/A</v>
      </c>
      <c r="CF4" s="44" t="e">
        <f>ROUNDDOWN(tbl_Hotel_Multi[[#This Row],[Target Max Energy (MJ)]]*tbl_Hotel_Multi[[#This Row],[Electricity (%)]]/tbl_Hotel_Multi[[#This Row],[CFelec]],0)</f>
        <v>#N/A</v>
      </c>
      <c r="CG4" s="44" t="e">
        <f>ROUNDDOWN(tbl_Hotel_Multi[[#This Row],[Target Max Energy (MJ)]]*tbl_Hotel_Multi[[#This Row],[Gas (%)]],0)</f>
        <v>#N/A</v>
      </c>
      <c r="CH4" s="44" t="e">
        <f>ROUNDDOWN(tbl_Hotel_Multi[[#This Row],[Target Max Energy (MJ)]]*tbl_Hotel_Multi[[#This Row],[Diesel (%)]]/tbl_Hotel_Multi[[#This Row],[CFdiesel]],0)</f>
        <v>#N/A</v>
      </c>
      <c r="CI4" s="44" t="e">
        <f>SUM(tbl_Hotel_Multi[[#This Row],[Target Max Elec (kWh)]]*tbl_Hotel_Multi[[#This Row],[SGEe Scopes 1,2&amp;3]],
tbl_Hotel_Multi[[#This Row],[Target Max Gas (MJ)]]*tbl_Hotel_Multi[[#This Row],[SGEg Scopes 1,2&amp;3]],
tbl_Hotel_Multi[[#This Row],[Target Max Diesel (L)]]*tbl_Hotel_Multi[[#This Row],[SGEd Scopes 1,2&amp;3]])</f>
        <v>#N/A</v>
      </c>
      <c r="CJ4" s="44" t="e">
        <f>SUM(tbl_Hotel_Multi[[#This Row],[Target Max Elec (kWh)]]*tbl_Hotel_Multi[[#This Row],[SGEe Scopes 1&amp;2]],
tbl_Hotel_Multi[[#This Row],[Target Max Gas (MJ)]]*tbl_Hotel_Multi[[#This Row],[SGEg Scopes 1&amp;2]],
tbl_Hotel_Multi[[#This Row],[Target Max Diesel (L)]]*tbl_Hotel_Multi[[#This Row],[SGEd Scopes 1&amp;2]])</f>
        <v>#N/A</v>
      </c>
      <c r="CK4" s="44" t="e">
        <f>ROUNDDOWN(tbl_Hotel_Multi[[#This Row],[Target max Water (kL/room)]]*tbl_Hotel_Multi[[#This Row],[Rooms]],0)</f>
        <v>#DIV/0!</v>
      </c>
      <c r="CL4" s="47" t="e">
        <f>IF(tbl_Hotel_Multi[[#This Row],[Target Water]]&lt;=5,((tbl_Hotel_Multi[[#This Row],[Target Water]]-Hotel_C_Reverse_Star_Band_Residual_Adjustment-Hotel_C_W_Median_Rating)*(tbl_Hotel_Multi[[#This Row],[w5,CDD=0]]-tbl_Hotel_Multi[[#This Row],[wr]])/Hotel_C_W_Median_Rating+tbl_Hotel_Multi[[#This Row],[wr]]),
(6.50001+Hotel_C_Reverse_Star_Band_Residual_Adjustment-tbl_Hotel_Multi[[#This Row],[Target Water]])*tbl_Hotel_Multi[[#This Row],[w5,CDD=0]]/2)</f>
        <v>#DIV/0!</v>
      </c>
      <c r="CM4" s="36">
        <f>IF(LEFT(tbl_Hotel_Multi[[#Headers],[6.0* Max Residual]],3)*1&gt;5,(LEFT(tbl_Hotel_Multi[[#Headers],[6.0* Max Residual]],3)-Hotel_C_Reverse_Star_Band_Residual_Adjustment-Hotel_C_E_Median_R_above_5_stars)/(Hotel_C_E_Rating_Coefficient_above_5_stars),
(LEFT(tbl_Hotel_Multi[[#Headers],[6.0* Max Residual]],3)-Hotel_C_Reverse_Star_Band_Residual_Adjustment-Hotel_C_E_Median_Rating)/(Hotel_C_E_Rating_Coefficient))</f>
        <v>-0.79152551308679864</v>
      </c>
      <c r="CN4" s="36">
        <f>IF(LEFT(tbl_Hotel_Multi[[#Headers],[5.5* Max Residual]],3)*1&gt;5,(LEFT(tbl_Hotel_Multi[[#Headers],[5.5* Max Residual]],3)-Hotel_C_Reverse_Star_Band_Residual_Adjustment-Hotel_C_E_Median_R_above_5_stars)/(Hotel_C_E_Rating_Coefficient_above_5_stars),
(LEFT(tbl_Hotel_Multi[[#Headers],[5.5* Max Residual]],3)-Hotel_C_Reverse_Star_Band_Residual_Adjustment-Hotel_C_E_Median_Rating)/(Hotel_C_E_Rating_Coefficient))</f>
        <v>-0.68728931199220888</v>
      </c>
      <c r="CO4" s="36">
        <f>IF(LEFT(tbl_Hotel_Multi[[#Headers],[5.0* Max Residual]],3)*1&gt;5,(LEFT(tbl_Hotel_Multi[[#Headers],[5.0* Max Residual]],3)-Hotel_C_Reverse_Star_Band_Residual_Adjustment-Hotel_C_E_Median_R_above_5_stars)/(Hotel_C_E_Rating_Coefficient_above_5_stars),
(LEFT(tbl_Hotel_Multi[[#Headers],[5.0* Max Residual]],3)-Hotel_C_Reverse_Star_Band_Residual_Adjustment-Hotel_C_E_Median_Rating)/(Hotel_C_E_Rating_Coefficient))</f>
        <v>-0.58305260430163253</v>
      </c>
      <c r="CP4" s="36">
        <f>IF(LEFT(tbl_Hotel_Multi[[#Headers],[4.5* Max Residual]],3)*1&gt;5,(LEFT(tbl_Hotel_Multi[[#Headers],[4.5* Max Residual]],3)-Hotel_C_Reverse_Star_Band_Residual_Adjustment-Hotel_C_E_Median_R_above_5_stars)/(Hotel_C_E_Rating_Coefficient_above_5_stars),
(LEFT(tbl_Hotel_Multi[[#Headers],[4.5* Max Residual]],3)-Hotel_C_Reverse_Star_Band_Residual_Adjustment-Hotel_C_E_Median_Rating)/(Hotel_C_E_Rating_Coefficient))</f>
        <v>-0.45348535890126979</v>
      </c>
      <c r="CQ4" s="36">
        <f>IF(LEFT(tbl_Hotel_Multi[[#Headers],[4.0* Max Residual]],3)*1&gt;5,(LEFT(tbl_Hotel_Multi[[#Headers],[4.0* Max Residual]],3)-Hotel_C_Reverse_Star_Band_Residual_Adjustment-Hotel_C_E_Median_R_above_5_stars)/(Hotel_C_E_Rating_Coefficient_above_5_stars),
(LEFT(tbl_Hotel_Multi[[#Headers],[4.0* Max Residual]],3)-Hotel_C_Reverse_Star_Band_Residual_Adjustment-Hotel_C_E_Median_Rating)/(Hotel_C_E_Rating_Coefficient))</f>
        <v>-0.32391811350090699</v>
      </c>
      <c r="CR4" s="36">
        <f>IF(LEFT(tbl_Hotel_Multi[[#Headers],[3.5* Max Residual]],3)*1&gt;5,(LEFT(tbl_Hotel_Multi[[#Headers],[3.5* Max Residual]],3)-Hotel_C_Reverse_Star_Band_Residual_Adjustment-Hotel_C_E_Median_R_above_5_stars)/(Hotel_C_E_Rating_Coefficient_above_5_stars),
(LEFT(tbl_Hotel_Multi[[#Headers],[3.5* Max Residual]],3)-Hotel_C_Reverse_Star_Band_Residual_Adjustment-Hotel_C_E_Median_Rating)/(Hotel_C_E_Rating_Coefficient))</f>
        <v>-0.19435086810054419</v>
      </c>
      <c r="CS4" s="36">
        <f>IF(LEFT(tbl_Hotel_Multi[[#Headers],[3.0* Max Residual]],3)*1&gt;5,(LEFT(tbl_Hotel_Multi[[#Headers],[3.0* Max Residual]],3)-Hotel_C_Reverse_Star_Band_Residual_Adjustment-Hotel_C_E_Median_R_above_5_stars)/(Hotel_C_E_Rating_Coefficient_above_5_stars),
(LEFT(tbl_Hotel_Multi[[#Headers],[3.0* Max Residual]],3)-Hotel_C_Reverse_Star_Band_Residual_Adjustment-Hotel_C_E_Median_Rating)/(Hotel_C_E_Rating_Coefficient))</f>
        <v>-6.4783622700181398E-2</v>
      </c>
      <c r="CT4" s="36">
        <f>IF(LEFT(tbl_Hotel_Multi[[#Headers],[2.5* Max Residual]],3)*1&gt;5,(LEFT(tbl_Hotel_Multi[[#Headers],[2.5* Max Residual]],3)-Hotel_C_Reverse_Star_Band_Residual_Adjustment-Hotel_C_E_Median_R_above_5_stars)/(Hotel_C_E_Rating_Coefficient_above_5_stars),
(LEFT(tbl_Hotel_Multi[[#Headers],[2.5* Max Residual]],3)-Hotel_C_Reverse_Star_Band_Residual_Adjustment-Hotel_C_E_Median_Rating)/(Hotel_C_E_Rating_Coefficient))</f>
        <v>6.4783622700181398E-2</v>
      </c>
      <c r="CU4" s="36">
        <f>IF(LEFT(tbl_Hotel_Multi[[#Headers],[2.0* Max Residual]],3)*1&gt;5,(LEFT(tbl_Hotel_Multi[[#Headers],[2.0* Max Residual]],3)-Hotel_C_Reverse_Star_Band_Residual_Adjustment-Hotel_C_E_Median_R_above_5_stars)/(Hotel_C_E_Rating_Coefficient_above_5_stars),
(LEFT(tbl_Hotel_Multi[[#Headers],[2.0* Max Residual]],3)-Hotel_C_Reverse_Star_Band_Residual_Adjustment-Hotel_C_E_Median_Rating)/(Hotel_C_E_Rating_Coefficient))</f>
        <v>0.19435086810054419</v>
      </c>
      <c r="CV4" s="36">
        <f>IF(LEFT(tbl_Hotel_Multi[[#Headers],[1.5* Max Residual]],3)*1&gt;5,(LEFT(tbl_Hotel_Multi[[#Headers],[1.5* Max Residual]],3)-Hotel_C_Reverse_Star_Band_Residual_Adjustment-Hotel_C_E_Median_R_above_5_stars)/(Hotel_C_E_Rating_Coefficient_above_5_stars),
(LEFT(tbl_Hotel_Multi[[#Headers],[1.5* Max Residual]],3)-Hotel_C_Reverse_Star_Band_Residual_Adjustment-Hotel_C_E_Median_Rating)/(Hotel_C_E_Rating_Coefficient))</f>
        <v>0.32391811350090699</v>
      </c>
      <c r="CW4" s="36">
        <f>IF(LEFT(tbl_Hotel_Multi[[#Headers],[1.0* Max Residual]],3)*1&gt;5,(LEFT(tbl_Hotel_Multi[[#Headers],[1.0* Max Residual]],3)-Hotel_C_Reverse_Star_Band_Residual_Adjustment-Hotel_C_E_Median_R_above_5_stars)/(Hotel_C_E_Rating_Coefficient_above_5_stars),
(LEFT(tbl_Hotel_Multi[[#Headers],[1.0* Max Residual]],3)-Hotel_C_Reverse_Star_Band_Residual_Adjustment-Hotel_C_E_Median_Rating)/(Hotel_C_E_Rating_Coefficient))</f>
        <v>0.45348535890126979</v>
      </c>
      <c r="CX4" s="36">
        <f>IF(LEFT(tbl_Hotel_Multi[[#Headers],[0.0* Max Residual]],3)*1&gt;5,(LEFT(tbl_Hotel_Multi[[#Headers],[0.0* Max Residual]],3)-Hotel_C_Reverse_Star_Band_Residual_Adjustment-Hotel_C_E_Median_R_above_5_stars)/(Hotel_C_E_Rating_Coefficient_above_5_stars),
(LEFT(tbl_Hotel_Multi[[#Headers],[0.0* Max Residual]],3)-Hotel_C_Reverse_Star_Band_Residual_Adjustment-Hotel_C_E_Median_Rating)/(Hotel_C_E_Rating_Coefficient))</f>
        <v>0.71261984970199532</v>
      </c>
      <c r="CY4" s="36" t="e">
        <f>tbl_Hotel_Multi[[er]:[er]]*(tbl_Hotel_Multi[[#This Row],[6.0* Max Residual]]+1)</f>
        <v>#N/A</v>
      </c>
      <c r="CZ4" s="36" t="e">
        <f>tbl_Hotel_Multi[[er]:[er]]*(tbl_Hotel_Multi[[#This Row],[5.5* Max Residual]]+1)</f>
        <v>#N/A</v>
      </c>
      <c r="DA4" s="36" t="e">
        <f>tbl_Hotel_Multi[[er]:[er]]*(tbl_Hotel_Multi[[#This Row],[5.0* Max Residual]]+1)</f>
        <v>#N/A</v>
      </c>
      <c r="DB4" s="36" t="e">
        <f>tbl_Hotel_Multi[[er]:[er]]*(tbl_Hotel_Multi[[#This Row],[4.5* Max Residual]]+1)</f>
        <v>#N/A</v>
      </c>
      <c r="DC4" s="36" t="e">
        <f>tbl_Hotel_Multi[[er]:[er]]*(tbl_Hotel_Multi[[#This Row],[4.0* Max Residual]]+1)</f>
        <v>#N/A</v>
      </c>
      <c r="DD4" s="36" t="e">
        <f>tbl_Hotel_Multi[[er]:[er]]*(tbl_Hotel_Multi[[#This Row],[3.5* Max Residual]]+1)</f>
        <v>#N/A</v>
      </c>
      <c r="DE4" s="36" t="e">
        <f>tbl_Hotel_Multi[[er]:[er]]*(tbl_Hotel_Multi[[#This Row],[3.0* Max Residual]]+1)</f>
        <v>#N/A</v>
      </c>
      <c r="DF4" s="36" t="e">
        <f>tbl_Hotel_Multi[[er]:[er]]*(tbl_Hotel_Multi[[#This Row],[2.5* Max Residual]]+1)</f>
        <v>#N/A</v>
      </c>
      <c r="DG4" s="36" t="e">
        <f>tbl_Hotel_Multi[[er]:[er]]*(tbl_Hotel_Multi[[#This Row],[2.0* Max Residual]]+1)</f>
        <v>#N/A</v>
      </c>
      <c r="DH4" s="36" t="e">
        <f>tbl_Hotel_Multi[[er]:[er]]*(tbl_Hotel_Multi[[#This Row],[1.5* Max Residual]]+1)</f>
        <v>#N/A</v>
      </c>
      <c r="DI4" s="36" t="e">
        <f>tbl_Hotel_Multi[[er]:[er]]*(tbl_Hotel_Multi[[#This Row],[1.0* Max Residual]]+1)</f>
        <v>#N/A</v>
      </c>
      <c r="DJ4" s="36" t="e">
        <f>tbl_Hotel_Multi[[er]:[er]]*(tbl_Hotel_Multi[[#This Row],[0.0* Max Residual]]+1)</f>
        <v>#N/A</v>
      </c>
      <c r="DK4" s="44" t="e">
        <f>tbl_Hotel_Multi[[#This Row],[6.0* Max e]]*tbl_Hotel_Multi[[Rooms]:[Rooms]]</f>
        <v>#N/A</v>
      </c>
      <c r="DL4" s="44" t="e">
        <f>tbl_Hotel_Multi[[#This Row],[5.5* Max e]]*tbl_Hotel_Multi[[Rooms]:[Rooms]]</f>
        <v>#N/A</v>
      </c>
      <c r="DM4" s="44" t="e">
        <f>tbl_Hotel_Multi[[#This Row],[5.0* Max e]]*tbl_Hotel_Multi[[Rooms]:[Rooms]]</f>
        <v>#N/A</v>
      </c>
      <c r="DN4" s="44" t="e">
        <f>tbl_Hotel_Multi[[#This Row],[4.5* Max e]]*tbl_Hotel_Multi[[Rooms]:[Rooms]]</f>
        <v>#N/A</v>
      </c>
      <c r="DO4" s="44" t="e">
        <f>tbl_Hotel_Multi[[#This Row],[4.0* Max e]]*tbl_Hotel_Multi[[Rooms]:[Rooms]]</f>
        <v>#N/A</v>
      </c>
      <c r="DP4" s="44" t="e">
        <f>tbl_Hotel_Multi[[#This Row],[3.5* Max e]]*tbl_Hotel_Multi[[Rooms]:[Rooms]]</f>
        <v>#N/A</v>
      </c>
      <c r="DQ4" s="44" t="e">
        <f>tbl_Hotel_Multi[[#This Row],[3.0* Max e]]*tbl_Hotel_Multi[[Rooms]:[Rooms]]</f>
        <v>#N/A</v>
      </c>
      <c r="DR4" s="44" t="e">
        <f>tbl_Hotel_Multi[[#This Row],[2.5* Max e]]*tbl_Hotel_Multi[[Rooms]:[Rooms]]</f>
        <v>#N/A</v>
      </c>
      <c r="DS4" s="44" t="e">
        <f>tbl_Hotel_Multi[[#This Row],[2.0* Max e]]*tbl_Hotel_Multi[[Rooms]:[Rooms]]</f>
        <v>#N/A</v>
      </c>
      <c r="DT4" s="44" t="e">
        <f>tbl_Hotel_Multi[[#This Row],[1.5* Max e]]*tbl_Hotel_Multi[[Rooms]:[Rooms]]</f>
        <v>#N/A</v>
      </c>
      <c r="DU4" s="44" t="e">
        <f>tbl_Hotel_Multi[[#This Row],[1.0* Max e]]*tbl_Hotel_Multi[[Rooms]:[Rooms]]</f>
        <v>#N/A</v>
      </c>
      <c r="DV4" s="44" t="e">
        <f>tbl_Hotel_Multi[[#This Row],[0.0* Max e]]*tbl_Hotel_Multi[[Rooms]:[Rooms]]</f>
        <v>#N/A</v>
      </c>
      <c r="DW4" s="44" t="e">
        <f>tbl_Hotel_Multi[[#This Row],[6.0* Max CO2]]/tbl_Hotel_Multi[[EffGHG]:[EffGHG]]</f>
        <v>#N/A</v>
      </c>
      <c r="DX4" s="44" t="e">
        <f>tbl_Hotel_Multi[[#This Row],[5.5* Max CO2]]/tbl_Hotel_Multi[[EffGHG]:[EffGHG]]</f>
        <v>#N/A</v>
      </c>
      <c r="DY4" s="44" t="e">
        <f>tbl_Hotel_Multi[[#This Row],[5.0* Max CO2]]/tbl_Hotel_Multi[[EffGHG]:[EffGHG]]</f>
        <v>#N/A</v>
      </c>
      <c r="DZ4" s="44" t="e">
        <f>tbl_Hotel_Multi[[#This Row],[4.5* Max CO2]]/tbl_Hotel_Multi[[EffGHG]:[EffGHG]]</f>
        <v>#N/A</v>
      </c>
      <c r="EA4" s="44" t="e">
        <f>tbl_Hotel_Multi[[#This Row],[4.0* Max CO2]]/tbl_Hotel_Multi[[EffGHG]:[EffGHG]]</f>
        <v>#N/A</v>
      </c>
      <c r="EB4" s="44" t="e">
        <f>tbl_Hotel_Multi[[#This Row],[3.5* Max CO2]]/tbl_Hotel_Multi[[EffGHG]:[EffGHG]]</f>
        <v>#N/A</v>
      </c>
      <c r="EC4" s="44" t="e">
        <f>tbl_Hotel_Multi[[#This Row],[3.0* Max CO2]]/tbl_Hotel_Multi[[EffGHG]:[EffGHG]]</f>
        <v>#N/A</v>
      </c>
      <c r="ED4" s="44" t="e">
        <f>tbl_Hotel_Multi[[#This Row],[2.5* Max CO2]]/tbl_Hotel_Multi[[EffGHG]:[EffGHG]]</f>
        <v>#N/A</v>
      </c>
      <c r="EE4" s="44" t="e">
        <f>tbl_Hotel_Multi[[#This Row],[2.0* Max CO2]]/tbl_Hotel_Multi[[EffGHG]:[EffGHG]]</f>
        <v>#N/A</v>
      </c>
      <c r="EF4" s="44" t="e">
        <f>tbl_Hotel_Multi[[#This Row],[1.5* Max CO2]]/tbl_Hotel_Multi[[EffGHG]:[EffGHG]]</f>
        <v>#N/A</v>
      </c>
      <c r="EG4" s="44" t="e">
        <f>tbl_Hotel_Multi[[#This Row],[1.0* Max CO2]]/tbl_Hotel_Multi[[EffGHG]:[EffGHG]]</f>
        <v>#N/A</v>
      </c>
      <c r="EH4" s="44" t="e">
        <f>tbl_Hotel_Multi[[#This Row],[0.0* Max CO2]]/tbl_Hotel_Multi[[EffGHG]:[EffGHG]]</f>
        <v>#N/A</v>
      </c>
      <c r="EI4" s="44" t="e">
        <f>ROUNDDOWN(tbl_Hotel_Multi[[#This Row],[6.0* Max Energy (MJ)]]*tbl_Hotel_Multi[[Electricity (%)]:[Electricity (%)]]/tbl_Hotel_Multi[[CFelec]:[CFelec]],0)</f>
        <v>#N/A</v>
      </c>
      <c r="EJ4" s="44" t="e">
        <f>ROUNDDOWN(tbl_Hotel_Multi[[#This Row],[5.5* Max Energy (MJ)]]*tbl_Hotel_Multi[[Electricity (%)]:[Electricity (%)]]/tbl_Hotel_Multi[[CFelec]:[CFelec]],0)</f>
        <v>#N/A</v>
      </c>
      <c r="EK4" s="44" t="e">
        <f>ROUNDDOWN(tbl_Hotel_Multi[[#This Row],[5.0* Max Energy (MJ)]]*tbl_Hotel_Multi[[Electricity (%)]:[Electricity (%)]]/tbl_Hotel_Multi[[CFelec]:[CFelec]],0)</f>
        <v>#N/A</v>
      </c>
      <c r="EL4" s="44" t="e">
        <f>ROUNDDOWN(tbl_Hotel_Multi[[#This Row],[4.5* Max Energy (MJ)]]*tbl_Hotel_Multi[[Electricity (%)]:[Electricity (%)]]/tbl_Hotel_Multi[[CFelec]:[CFelec]],0)</f>
        <v>#N/A</v>
      </c>
      <c r="EM4" s="44" t="e">
        <f>ROUNDDOWN(tbl_Hotel_Multi[[#This Row],[4.0* Max Energy (MJ)]]*tbl_Hotel_Multi[[Electricity (%)]:[Electricity (%)]]/tbl_Hotel_Multi[[CFelec]:[CFelec]],0)</f>
        <v>#N/A</v>
      </c>
      <c r="EN4" s="44" t="e">
        <f>ROUNDDOWN(tbl_Hotel_Multi[[#This Row],[3.5* Max Energy (MJ)]]*tbl_Hotel_Multi[[Electricity (%)]:[Electricity (%)]]/tbl_Hotel_Multi[[CFelec]:[CFelec]],0)</f>
        <v>#N/A</v>
      </c>
      <c r="EO4" s="44" t="e">
        <f>ROUNDDOWN(tbl_Hotel_Multi[[#This Row],[3.0* Max Energy (MJ)]]*tbl_Hotel_Multi[[Electricity (%)]:[Electricity (%)]]/tbl_Hotel_Multi[[CFelec]:[CFelec]],0)</f>
        <v>#N/A</v>
      </c>
      <c r="EP4" s="44" t="e">
        <f>ROUNDDOWN(tbl_Hotel_Multi[[#This Row],[2.5* Max Energy (MJ)]]*tbl_Hotel_Multi[[Electricity (%)]:[Electricity (%)]]/tbl_Hotel_Multi[[CFelec]:[CFelec]],0)</f>
        <v>#N/A</v>
      </c>
      <c r="EQ4" s="44" t="e">
        <f>ROUNDDOWN(tbl_Hotel_Multi[[#This Row],[2.0* Max Energy (MJ)]]*tbl_Hotel_Multi[[Electricity (%)]:[Electricity (%)]]/tbl_Hotel_Multi[[CFelec]:[CFelec]],0)</f>
        <v>#N/A</v>
      </c>
      <c r="ER4" s="44" t="e">
        <f>ROUNDDOWN(tbl_Hotel_Multi[[#This Row],[1.5* Max Energy (MJ)]]*tbl_Hotel_Multi[[Electricity (%)]:[Electricity (%)]]/tbl_Hotel_Multi[[CFelec]:[CFelec]],0)</f>
        <v>#N/A</v>
      </c>
      <c r="ES4" s="44" t="e">
        <f>ROUNDDOWN(tbl_Hotel_Multi[[#This Row],[1.0* Max Energy (MJ)]]*tbl_Hotel_Multi[[Electricity (%)]:[Electricity (%)]]/tbl_Hotel_Multi[[CFelec]:[CFelec]],0)</f>
        <v>#N/A</v>
      </c>
      <c r="ET4" s="44" t="e">
        <f>ROUNDDOWN(tbl_Hotel_Multi[[#This Row],[0.0* Max Energy (MJ)]]*tbl_Hotel_Multi[[Electricity (%)]:[Electricity (%)]]/tbl_Hotel_Multi[[CFelec]:[CFelec]],0)</f>
        <v>#N/A</v>
      </c>
      <c r="EU4" s="44" t="e">
        <f>ROUNDDOWN(tbl_Hotel_Multi[[#This Row],[6.0* Max Energy (MJ)]]*tbl_Hotel_Multi[[Gas (%)]:[Gas (%)]],0)</f>
        <v>#N/A</v>
      </c>
      <c r="EV4" s="44" t="e">
        <f>ROUNDDOWN(tbl_Hotel_Multi[[#This Row],[5.5* Max Energy (MJ)]]*tbl_Hotel_Multi[[Gas (%)]:[Gas (%)]],0)</f>
        <v>#N/A</v>
      </c>
      <c r="EW4" s="44" t="e">
        <f>ROUNDDOWN(tbl_Hotel_Multi[[#This Row],[5.0* Max Energy (MJ)]]*tbl_Hotel_Multi[[Gas (%)]:[Gas (%)]],0)</f>
        <v>#N/A</v>
      </c>
      <c r="EX4" s="44" t="e">
        <f>ROUNDDOWN(tbl_Hotel_Multi[[#This Row],[4.5* Max Energy (MJ)]]*tbl_Hotel_Multi[[Gas (%)]:[Gas (%)]],0)</f>
        <v>#N/A</v>
      </c>
      <c r="EY4" s="44" t="e">
        <f>ROUNDDOWN(tbl_Hotel_Multi[[#This Row],[4.0* Max Energy (MJ)]]*tbl_Hotel_Multi[[Gas (%)]:[Gas (%)]],0)</f>
        <v>#N/A</v>
      </c>
      <c r="EZ4" s="44" t="e">
        <f>ROUNDDOWN(tbl_Hotel_Multi[[#This Row],[3.5* Max Energy (MJ)]]*tbl_Hotel_Multi[[Gas (%)]:[Gas (%)]],0)</f>
        <v>#N/A</v>
      </c>
      <c r="FA4" s="44" t="e">
        <f>ROUNDDOWN(tbl_Hotel_Multi[[#This Row],[3.0* Max Energy (MJ)]]*tbl_Hotel_Multi[[Gas (%)]:[Gas (%)]],0)</f>
        <v>#N/A</v>
      </c>
      <c r="FB4" s="44" t="e">
        <f>ROUNDDOWN(tbl_Hotel_Multi[[#This Row],[2.5* Max Energy (MJ)]]*tbl_Hotel_Multi[[Gas (%)]:[Gas (%)]],0)</f>
        <v>#N/A</v>
      </c>
      <c r="FC4" s="44" t="e">
        <f>ROUNDDOWN(tbl_Hotel_Multi[[#This Row],[2.0* Max Energy (MJ)]]*tbl_Hotel_Multi[[Gas (%)]:[Gas (%)]],0)</f>
        <v>#N/A</v>
      </c>
      <c r="FD4" s="44" t="e">
        <f>ROUNDDOWN(tbl_Hotel_Multi[[#This Row],[1.5* Max Energy (MJ)]]*tbl_Hotel_Multi[[Gas (%)]:[Gas (%)]],0)</f>
        <v>#N/A</v>
      </c>
      <c r="FE4" s="44" t="e">
        <f>ROUNDDOWN(tbl_Hotel_Multi[[#This Row],[1.0* Max Energy (MJ)]]*tbl_Hotel_Multi[[Gas (%)]:[Gas (%)]],0)</f>
        <v>#N/A</v>
      </c>
      <c r="FF4" s="44" t="e">
        <f>ROUNDDOWN(tbl_Hotel_Multi[[#This Row],[0.0* Max Energy (MJ)]]*tbl_Hotel_Multi[[Gas (%)]:[Gas (%)]],0)</f>
        <v>#N/A</v>
      </c>
      <c r="FG4" s="44" t="e">
        <f>ROUNDDOWN(tbl_Hotel_Multi[[#This Row],[6.0* Max Energy (MJ)]]*tbl_Hotel_Multi[[Diesel (%)]:[Diesel (%)]]/tbl_Hotel_Multi[[CFdiesel]:[CFdiesel]],0)</f>
        <v>#N/A</v>
      </c>
      <c r="FH4" s="44" t="e">
        <f>ROUNDDOWN(tbl_Hotel_Multi[[#This Row],[5.5* Max Energy (MJ)]]*tbl_Hotel_Multi[[Diesel (%)]:[Diesel (%)]]/tbl_Hotel_Multi[[CFdiesel]:[CFdiesel]],0)</f>
        <v>#N/A</v>
      </c>
      <c r="FI4" s="44" t="e">
        <f>ROUNDDOWN(tbl_Hotel_Multi[[#This Row],[5.0* Max Energy (MJ)]]*tbl_Hotel_Multi[[Diesel (%)]:[Diesel (%)]]/tbl_Hotel_Multi[[CFdiesel]:[CFdiesel]],0)</f>
        <v>#N/A</v>
      </c>
      <c r="FJ4" s="44" t="e">
        <f>ROUNDDOWN(tbl_Hotel_Multi[[#This Row],[4.5* Max Energy (MJ)]]*tbl_Hotel_Multi[[Diesel (%)]:[Diesel (%)]]/tbl_Hotel_Multi[[CFdiesel]:[CFdiesel]],0)</f>
        <v>#N/A</v>
      </c>
      <c r="FK4" s="44" t="e">
        <f>ROUNDDOWN(tbl_Hotel_Multi[[#This Row],[4.0* Max Energy (MJ)]]*tbl_Hotel_Multi[[Diesel (%)]:[Diesel (%)]]/tbl_Hotel_Multi[[CFdiesel]:[CFdiesel]],0)</f>
        <v>#N/A</v>
      </c>
      <c r="FL4" s="44" t="e">
        <f>ROUNDDOWN(tbl_Hotel_Multi[[#This Row],[3.5* Max Energy (MJ)]]*tbl_Hotel_Multi[[Diesel (%)]:[Diesel (%)]]/tbl_Hotel_Multi[[CFdiesel]:[CFdiesel]],0)</f>
        <v>#N/A</v>
      </c>
      <c r="FM4" s="44" t="e">
        <f>ROUNDDOWN(tbl_Hotel_Multi[[#This Row],[3.0* Max Energy (MJ)]]*tbl_Hotel_Multi[[Diesel (%)]:[Diesel (%)]]/tbl_Hotel_Multi[[CFdiesel]:[CFdiesel]],0)</f>
        <v>#N/A</v>
      </c>
      <c r="FN4" s="44" t="e">
        <f>ROUNDDOWN(tbl_Hotel_Multi[[#This Row],[2.5* Max Energy (MJ)]]*tbl_Hotel_Multi[[Diesel (%)]:[Diesel (%)]]/tbl_Hotel_Multi[[CFdiesel]:[CFdiesel]],0)</f>
        <v>#N/A</v>
      </c>
      <c r="FO4" s="44" t="e">
        <f>ROUNDDOWN(tbl_Hotel_Multi[[#This Row],[2.0* Max Energy (MJ)]]*tbl_Hotel_Multi[[Diesel (%)]:[Diesel (%)]]/tbl_Hotel_Multi[[CFdiesel]:[CFdiesel]],0)</f>
        <v>#N/A</v>
      </c>
      <c r="FP4" s="44" t="e">
        <f>ROUNDDOWN(tbl_Hotel_Multi[[#This Row],[1.5* Max Energy (MJ)]]*tbl_Hotel_Multi[[Diesel (%)]:[Diesel (%)]]/tbl_Hotel_Multi[[CFdiesel]:[CFdiesel]],0)</f>
        <v>#N/A</v>
      </c>
      <c r="FQ4" s="44" t="e">
        <f>ROUNDDOWN(tbl_Hotel_Multi[[#This Row],[1.0* Max Energy (MJ)]]*tbl_Hotel_Multi[[Diesel (%)]:[Diesel (%)]]/tbl_Hotel_Multi[[CFdiesel]:[CFdiesel]],0)</f>
        <v>#N/A</v>
      </c>
      <c r="FR4" s="44" t="e">
        <f>ROUNDDOWN(tbl_Hotel_Multi[[#This Row],[0.0* Max Energy (MJ)]]*tbl_Hotel_Multi[[Diesel (%)]:[Diesel (%)]]/tbl_Hotel_Multi[[CFdiesel]:[CFdiesel]],0)</f>
        <v>#N/A</v>
      </c>
      <c r="FS4" s="47" t="e">
        <f>IF(LEFT(tbl_Hotel_Multi[[#Headers],[6.0* Max Water (kL/room)]],3)*1&lt;=5,((LEFT(tbl_Hotel_Multi[[#Headers],[6.0* Max Water (kL/room)]],3)-Hotel_C_Reverse_Star_Band_Residual_Adjustment-Hotel_C_W_Median_Rating)*(tbl_Hotel_Multi[[w5,CDD=0]:[w5,CDD=0]]-tbl_Hotel_Multi[[wr]:[wr]])/Hotel_C_W_Median_Rating+tbl_Hotel_Multi[[wr]:[wr]]),
(6.50001+Hotel_C_Reverse_Star_Band_Residual_Adjustment-LEFT(tbl_Hotel_Multi[[#Headers],[6.0* Max Water (kL/room)]],3))*tbl_Hotel_Multi[[w5,CDD=0]:[w5,CDD=0]]/2)</f>
        <v>#DIV/0!</v>
      </c>
      <c r="FT4" s="47" t="e">
        <f>IF(LEFT(tbl_Hotel_Multi[[#Headers],[5.5* Max Water (kL/room)]],3)*1&lt;=5,((LEFT(tbl_Hotel_Multi[[#Headers],[5.5* Max Water (kL/room)]],3)-Hotel_C_Reverse_Star_Band_Residual_Adjustment-Hotel_C_W_Median_Rating)*(tbl_Hotel_Multi[[w5,CDD=0]:[w5,CDD=0]]-tbl_Hotel_Multi[[wr]:[wr]])/Hotel_C_W_Median_Rating+tbl_Hotel_Multi[[wr]:[wr]]),
(6.50001+Hotel_C_Reverse_Star_Band_Residual_Adjustment-LEFT(tbl_Hotel_Multi[[#Headers],[5.5* Max Water (kL/room)]],3))*tbl_Hotel_Multi[[w5,CDD=0]:[w5,CDD=0]]/2)</f>
        <v>#DIV/0!</v>
      </c>
      <c r="FU4" s="47" t="e">
        <f>IF(LEFT(tbl_Hotel_Multi[[#Headers],[5.0* Max Water (kL/room)]],3)*1&lt;=5,((LEFT(tbl_Hotel_Multi[[#Headers],[5.0* Max Water (kL/room)]],3)-Hotel_C_Reverse_Star_Band_Residual_Adjustment-Hotel_C_W_Median_Rating)*(tbl_Hotel_Multi[[w5,CDD=0]:[w5,CDD=0]]-tbl_Hotel_Multi[[wr]:[wr]])/Hotel_C_W_Median_Rating+tbl_Hotel_Multi[[wr]:[wr]]),
(6.50001+Hotel_C_Reverse_Star_Band_Residual_Adjustment-LEFT(tbl_Hotel_Multi[[#Headers],[5.0* Max Water (kL/room)]],3))*tbl_Hotel_Multi[[w5,CDD=0]:[w5,CDD=0]]/2)</f>
        <v>#DIV/0!</v>
      </c>
      <c r="FV4" s="47" t="e">
        <f>IF(LEFT(tbl_Hotel_Multi[[#Headers],[4.5* Max Water (kL/room)]],3)*1&lt;=5,((LEFT(tbl_Hotel_Multi[[#Headers],[4.5* Max Water (kL/room)]],3)-Hotel_C_Reverse_Star_Band_Residual_Adjustment-Hotel_C_W_Median_Rating)*(tbl_Hotel_Multi[[w5,CDD=0]:[w5,CDD=0]]-tbl_Hotel_Multi[[wr]:[wr]])/Hotel_C_W_Median_Rating+tbl_Hotel_Multi[[wr]:[wr]]),
(6.50001+Hotel_C_Reverse_Star_Band_Residual_Adjustment-LEFT(tbl_Hotel_Multi[[#Headers],[4.5* Max Water (kL/room)]],3))*tbl_Hotel_Multi[[w5,CDD=0]:[w5,CDD=0]]/2)</f>
        <v>#DIV/0!</v>
      </c>
      <c r="FW4" s="47" t="e">
        <f>IF(LEFT(tbl_Hotel_Multi[[#Headers],[4.0* Max Water (kL/room)]],3)*1&lt;=5,((LEFT(tbl_Hotel_Multi[[#Headers],[4.0* Max Water (kL/room)]],3)-Hotel_C_Reverse_Star_Band_Residual_Adjustment-Hotel_C_W_Median_Rating)*(tbl_Hotel_Multi[[w5,CDD=0]:[w5,CDD=0]]-tbl_Hotel_Multi[[wr]:[wr]])/Hotel_C_W_Median_Rating+tbl_Hotel_Multi[[wr]:[wr]]),
(6.50001+Hotel_C_Reverse_Star_Band_Residual_Adjustment-LEFT(tbl_Hotel_Multi[[#Headers],[4.0* Max Water (kL/room)]],3))*tbl_Hotel_Multi[[w5,CDD=0]:[w5,CDD=0]]/2)</f>
        <v>#DIV/0!</v>
      </c>
      <c r="FX4" s="47" t="e">
        <f>IF(LEFT(tbl_Hotel_Multi[[#Headers],[3.5* Max Water (kL/room)]],3)*1&lt;=5,((LEFT(tbl_Hotel_Multi[[#Headers],[3.5* Max Water (kL/room)]],3)-Hotel_C_Reverse_Star_Band_Residual_Adjustment-Hotel_C_W_Median_Rating)*(tbl_Hotel_Multi[[w5,CDD=0]:[w5,CDD=0]]-tbl_Hotel_Multi[[wr]:[wr]])/Hotel_C_W_Median_Rating+tbl_Hotel_Multi[[wr]:[wr]]),
(6.50001+Hotel_C_Reverse_Star_Band_Residual_Adjustment-LEFT(tbl_Hotel_Multi[[#Headers],[3.5* Max Water (kL/room)]],3))*tbl_Hotel_Multi[[w5,CDD=0]:[w5,CDD=0]]/2)</f>
        <v>#DIV/0!</v>
      </c>
      <c r="FY4" s="47" t="e">
        <f>IF(LEFT(tbl_Hotel_Multi[[#Headers],[3.0* Max Water (kL/room)]],3)*1&lt;=5,((LEFT(tbl_Hotel_Multi[[#Headers],[3.0* Max Water (kL/room)]],3)-Hotel_C_Reverse_Star_Band_Residual_Adjustment-Hotel_C_W_Median_Rating)*(tbl_Hotel_Multi[[w5,CDD=0]:[w5,CDD=0]]-tbl_Hotel_Multi[[wr]:[wr]])/Hotel_C_W_Median_Rating+tbl_Hotel_Multi[[wr]:[wr]]),
(6.50001+Hotel_C_Reverse_Star_Band_Residual_Adjustment-LEFT(tbl_Hotel_Multi[[#Headers],[3.0* Max Water (kL/room)]],3))*tbl_Hotel_Multi[[w5,CDD=0]:[w5,CDD=0]]/2)</f>
        <v>#DIV/0!</v>
      </c>
      <c r="FZ4" s="47" t="e">
        <f>IF(LEFT(tbl_Hotel_Multi[[#Headers],[2.5* Max Water (kL/room)]],3)*1&lt;=5,((LEFT(tbl_Hotel_Multi[[#Headers],[2.5* Max Water (kL/room)]],3)-Hotel_C_Reverse_Star_Band_Residual_Adjustment-Hotel_C_W_Median_Rating)*(tbl_Hotel_Multi[[w5,CDD=0]:[w5,CDD=0]]-tbl_Hotel_Multi[[wr]:[wr]])/Hotel_C_W_Median_Rating+tbl_Hotel_Multi[[wr]:[wr]]),
(6.50001+Hotel_C_Reverse_Star_Band_Residual_Adjustment-LEFT(tbl_Hotel_Multi[[#Headers],[2.5* Max Water (kL/room)]],3))*tbl_Hotel_Multi[[w5,CDD=0]:[w5,CDD=0]]/2)</f>
        <v>#DIV/0!</v>
      </c>
      <c r="GA4" s="47" t="e">
        <f>IF(LEFT(tbl_Hotel_Multi[[#Headers],[2.0* Max Water (kL/room)]],3)*1&lt;=5,((LEFT(tbl_Hotel_Multi[[#Headers],[2.0* Max Water (kL/room)]],3)-Hotel_C_Reverse_Star_Band_Residual_Adjustment-Hotel_C_W_Median_Rating)*(tbl_Hotel_Multi[[w5,CDD=0]:[w5,CDD=0]]-tbl_Hotel_Multi[[wr]:[wr]])/Hotel_C_W_Median_Rating+tbl_Hotel_Multi[[wr]:[wr]]),
(6.50001+Hotel_C_Reverse_Star_Band_Residual_Adjustment-LEFT(tbl_Hotel_Multi[[#Headers],[2.0* Max Water (kL/room)]],3))*tbl_Hotel_Multi[[w5,CDD=0]:[w5,CDD=0]]/2)</f>
        <v>#DIV/0!</v>
      </c>
      <c r="GB4" s="47" t="e">
        <f>IF(LEFT(tbl_Hotel_Multi[[#Headers],[1.5* Max Water (kL/room)]],3)*1&lt;=5,((LEFT(tbl_Hotel_Multi[[#Headers],[1.5* Max Water (kL/room)]],3)-Hotel_C_Reverse_Star_Band_Residual_Adjustment-Hotel_C_W_Median_Rating)*(tbl_Hotel_Multi[[w5,CDD=0]:[w5,CDD=0]]-tbl_Hotel_Multi[[wr]:[wr]])/Hotel_C_W_Median_Rating+tbl_Hotel_Multi[[wr]:[wr]]),
(6.50001+Hotel_C_Reverse_Star_Band_Residual_Adjustment-LEFT(tbl_Hotel_Multi[[#Headers],[1.5* Max Water (kL/room)]],3))*tbl_Hotel_Multi[[w5,CDD=0]:[w5,CDD=0]]/2)</f>
        <v>#DIV/0!</v>
      </c>
      <c r="GC4" s="47" t="e">
        <f>IF(LEFT(tbl_Hotel_Multi[[#Headers],[1.0* Max Water (kL/room)]],3)*1&lt;=5,((LEFT(tbl_Hotel_Multi[[#Headers],[1.0* Max Water (kL/room)]],3)-Hotel_C_Reverse_Star_Band_Residual_Adjustment-Hotel_C_W_Median_Rating)*(tbl_Hotel_Multi[[w5,CDD=0]:[w5,CDD=0]]-tbl_Hotel_Multi[[wr]:[wr]])/Hotel_C_W_Median_Rating+tbl_Hotel_Multi[[wr]:[wr]]),
(6.50001+Hotel_C_Reverse_Star_Band_Residual_Adjustment-LEFT(tbl_Hotel_Multi[[#Headers],[1.0* Max Water (kL/room)]],3))*tbl_Hotel_Multi[[w5,CDD=0]:[w5,CDD=0]]/2)</f>
        <v>#DIV/0!</v>
      </c>
      <c r="GD4" s="47" t="e">
        <f>IF(LEFT(tbl_Hotel_Multi[[#Headers],[0.0* Max Water (kL/room)]],3)*1&lt;=5,((LEFT(tbl_Hotel_Multi[[#Headers],[0.0* Max Water (kL/room)]],3)-Hotel_C_Reverse_Star_Band_Residual_Adjustment-Hotel_C_W_Median_Rating)*(tbl_Hotel_Multi[[w5,CDD=0]:[w5,CDD=0]]-tbl_Hotel_Multi[[wr]:[wr]])/Hotel_C_W_Median_Rating+tbl_Hotel_Multi[[wr]:[wr]]),
(6.50001+Hotel_C_Reverse_Star_Band_Residual_Adjustment-LEFT(tbl_Hotel_Multi[[#Headers],[0.0* Max Water (kL/room)]],3))*tbl_Hotel_Multi[[w5,CDD=0]:[w5,CDD=0]]/2)</f>
        <v>#DIV/0!</v>
      </c>
      <c r="GE4" s="44" t="e">
        <f>ROUNDDOWN(tbl_Hotel_Multi[[#This Row],[6.0* Max Water (kL/room)]]*tbl_Hotel_Multi[[Rooms]:[Rooms]],0)</f>
        <v>#DIV/0!</v>
      </c>
      <c r="GF4" s="44" t="e">
        <f>ROUNDDOWN(tbl_Hotel_Multi[[#This Row],[5.5* Max Water (kL/room)]]*tbl_Hotel_Multi[[Rooms]:[Rooms]],0)</f>
        <v>#DIV/0!</v>
      </c>
      <c r="GG4" s="44" t="e">
        <f>ROUNDDOWN(tbl_Hotel_Multi[[#This Row],[5.0* Max Water (kL/room)]]*tbl_Hotel_Multi[[Rooms]:[Rooms]],0)</f>
        <v>#DIV/0!</v>
      </c>
      <c r="GH4" s="44" t="e">
        <f>ROUNDDOWN(tbl_Hotel_Multi[[#This Row],[4.5* Max Water (kL/room)]]*tbl_Hotel_Multi[[Rooms]:[Rooms]],0)</f>
        <v>#DIV/0!</v>
      </c>
      <c r="GI4" s="44" t="e">
        <f>ROUNDDOWN(tbl_Hotel_Multi[[#This Row],[4.0* Max Water (kL/room)]]*tbl_Hotel_Multi[[Rooms]:[Rooms]],0)</f>
        <v>#DIV/0!</v>
      </c>
      <c r="GJ4" s="44" t="e">
        <f>ROUNDDOWN(tbl_Hotel_Multi[[#This Row],[3.5* Max Water (kL/room)]]*tbl_Hotel_Multi[[Rooms]:[Rooms]],0)</f>
        <v>#DIV/0!</v>
      </c>
      <c r="GK4" s="44" t="e">
        <f>ROUNDDOWN(tbl_Hotel_Multi[[#This Row],[3.0* Max Water (kL/room)]]*tbl_Hotel_Multi[[Rooms]:[Rooms]],0)</f>
        <v>#DIV/0!</v>
      </c>
      <c r="GL4" s="44" t="e">
        <f>ROUNDDOWN(tbl_Hotel_Multi[[#This Row],[2.5* Max Water (kL/room)]]*tbl_Hotel_Multi[[Rooms]:[Rooms]],0)</f>
        <v>#DIV/0!</v>
      </c>
      <c r="GM4" s="44" t="e">
        <f>ROUNDDOWN(tbl_Hotel_Multi[[#This Row],[2.0* Max Water (kL/room)]]*tbl_Hotel_Multi[[Rooms]:[Rooms]],0)</f>
        <v>#DIV/0!</v>
      </c>
      <c r="GN4" s="44" t="e">
        <f>ROUNDDOWN(tbl_Hotel_Multi[[#This Row],[1.5* Max Water (kL/room)]]*tbl_Hotel_Multi[[Rooms]:[Rooms]],0)</f>
        <v>#DIV/0!</v>
      </c>
      <c r="GO4" s="44" t="e">
        <f>ROUNDDOWN(tbl_Hotel_Multi[[#This Row],[1.0* Max Water (kL/room)]]*tbl_Hotel_Multi[[Rooms]:[Rooms]],0)</f>
        <v>#DIV/0!</v>
      </c>
      <c r="GP4" s="44" t="e">
        <f>ROUNDDOWN(tbl_Hotel_Multi[[#This Row],[0.0* Max Water (kL/room)]]*tbl_Hotel_Multi[[Rooms]:[Rooms]],0)</f>
        <v>#DIV/0!</v>
      </c>
      <c r="GQ4" s="44" t="e">
        <f>SUM(tbl_Hotel_Multi[[#This Row],[Electricity]]*(1-tbl_Hotel_Multi[[#This Row],[GP]])*tbl_Hotel_Multi[[#This Row],[SGEe Scopes 1,2&amp;3]],
tbl_Hotel_Multi[[#This Row],[Gas]]*tbl_Hotel_Multi[[#This Row],[SGEg Scopes 1,2&amp;3]],
tbl_Hotel_Multi[[#This Row],[Diesel]]*tbl_Hotel_Multi[[#This Row],[SGEd Scopes 1,2&amp;3]])</f>
        <v>#N/A</v>
      </c>
      <c r="GR4" s="44" t="e">
        <f>SUM(tbl_Hotel_Multi[[#This Row],[Electricity]]*(1-tbl_Hotel_Multi[[#This Row],[GP]])*tbl_Hotel_Multi[[#This Row],[SGEe Scopes 1&amp;2]],
tbl_Hotel_Multi[[#This Row],[Gas]]*tbl_Hotel_Multi[[#This Row],[SGEg Scopes 1&amp;2]],
tbl_Hotel_Multi[[#This Row],[Diesel]]*tbl_Hotel_Multi[[#This Row],[SGEd Scopes 1&amp;2]])</f>
        <v>#N/A</v>
      </c>
      <c r="GS4" s="45" t="e">
        <f>IF(tbl_Hotel_Multi[[#This Row],[Energy Star Decimal (with GP)]]&lt;1,0,MIN(ROUNDDOWN(tbl_Hotel_Multi[[#This Row],[Energy Star Decimal (with GP)]]*2,0)/2,6))</f>
        <v>#N/A</v>
      </c>
      <c r="GT4" s="45" t="e">
        <f>tbl_Hotel_Multi[[#This Row],[R (with GP)]]+Hotel_C_FWD_Star_Band_Residual_Adjustment</f>
        <v>#N/A</v>
      </c>
      <c r="GU4" s="45" t="e">
        <f>IF(tbl_Hotel_Multi[[#This Row],[Energy Star Decimal (no GP)]]&lt;1,0,MIN(ROUNDDOWN(tbl_Hotel_Multi[[#This Row],[Energy Star Decimal (no GP)]]*2,0)/2,6))</f>
        <v>#N/A</v>
      </c>
      <c r="GV4" s="45" t="e">
        <f>tbl_Hotel_Multi[[#This Row],[R (no GP)]]+Hotel_C_FWD_Star_Band_Residual_Adjustment</f>
        <v>#N/A</v>
      </c>
      <c r="GW4" s="45" t="e">
        <f>IF(Hotel_C_E_Median_Rating+Hotel_C_E_Rating_Coefficient*tbl_Hotel_Multi[[#This Row],[p (with GP)]]&gt;5,Hotel_C_E_Median_R_above_5_stars+Hotel_C_E_Rating_Coefficient_above_5_stars*tbl_Hotel_Multi[[#This Row],[p (with GP)]],Hotel_C_E_Median_Rating+Hotel_C_E_Rating_Coefficient*tbl_Hotel_Multi[[#This Row],[p (with GP)]])</f>
        <v>#N/A</v>
      </c>
      <c r="GX4" s="45" t="e">
        <f>IF(Hotel_C_E_Median_Rating+Hotel_C_E_Rating_Coefficient*tbl_Hotel_Multi[[#This Row],[p (no GP)]]&gt;5,Hotel_C_E_Median_R_above_5_stars+Hotel_C_E_Rating_Coefficient_above_5_stars*tbl_Hotel_Multi[[#This Row],[p (no GP)]],Hotel_C_E_Median_Rating+Hotel_C_E_Rating_Coefficient*tbl_Hotel_Multi[[#This Row],[p (no GP)]])</f>
        <v>#N/A</v>
      </c>
      <c r="GY4" s="45" t="e">
        <f>SUM(tbl_Hotel_Multi[[#This Row],[Electricity]]*(1-tbl_Hotel_Multi[[#This Row],[GP]])*tbl_Hotel_Multi[[#This Row],[SGEe]],
tbl_Hotel_Multi[[#This Row],[Gas]]*tbl_Hotel_Multi[[#This Row],[SGEg]],
tbl_Hotel_Multi[[#This Row],[Diesel]]*tbl_Hotel_Multi[[#This Row],[SGEd]])
/tbl_Hotel_Multi[[#This Row],[Rooms]]</f>
        <v>#N/A</v>
      </c>
      <c r="GZ4" s="45" t="e">
        <f>SUM(tbl_Hotel_Multi[[#This Row],[Electricity]]*tbl_Hotel_Multi[[#This Row],[SGEe]],
tbl_Hotel_Multi[[#This Row],[Gas]]*tbl_Hotel_Multi[[#This Row],[SGEg]],
tbl_Hotel_Multi[[#This Row],[Diesel]]*tbl_Hotel_Multi[[#This Row],[SGEd]])
/tbl_Hotel_Multi[[#This Row],[Rooms]]</f>
        <v>#N/A</v>
      </c>
      <c r="HA4" s="45" t="e">
        <f>(tbl_Hotel_Multi[[#This Row],[e (with GP)]]-tbl_Hotel_Multi[[#This Row],[er (from A unrounded)]])/tbl_Hotel_Multi[[#This Row],[er (from A unrounded)]]</f>
        <v>#N/A</v>
      </c>
      <c r="HB4" s="45" t="e">
        <f>(tbl_Hotel_Multi[[#This Row],[e (no GP)]]-tbl_Hotel_Multi[[#This Row],[er (from A unrounded)]])/tbl_Hotel_Multi[[#This Row],[er (from A unrounded)]]</f>
        <v>#N/A</v>
      </c>
      <c r="HC4" s="45" t="e">
        <f>IF(tbl_Hotel_Multi[[#This Row],[Water Star Decimal (with recyc)]]&lt;1,0,MIN(ROUNDDOWN(tbl_Hotel_Multi[[#This Row],[Water Star Decimal (with recyc)]]*2,0)/2,6))</f>
        <v>#DIV/0!</v>
      </c>
      <c r="HD4" s="45" t="e">
        <f>tbl_Hotel_Multi[[#This Row],[R (with recyc)]]+Hotel_C_FWD_Star_Band_Residual_Adjustment</f>
        <v>#DIV/0!</v>
      </c>
      <c r="HE4" s="45" t="e">
        <f>IF(tbl_Hotel_Multi[[#This Row],[Water Star Decimal (no recyc)]]&lt;1,0,MIN(ROUNDDOWN(tbl_Hotel_Multi[[#This Row],[Water Star Decimal (no recyc)]]*2,0)/2,6))</f>
        <v>#DIV/0!</v>
      </c>
      <c r="HF4" s="45" t="e">
        <f>tbl_Hotel_Multi[[#This Row],[R (no recyc)]]+Hotel_C_FWD_Star_Band_Residual_Adjustment</f>
        <v>#DIV/0!</v>
      </c>
      <c r="HG4" s="36" t="e">
        <f>tbl_Hotel_Multi[[#This Row],[water]]*(1-tbl_Hotel_Multi[[#This Row],[RW]])/tbl_Hotel_Multi[[#This Row],[Rooms]]</f>
        <v>#DIV/0!</v>
      </c>
      <c r="HH4" s="36" t="e">
        <f>tbl_Hotel_Multi[[#This Row],[water]]/tbl_Hotel_Multi[[#This Row],[Rooms]]</f>
        <v>#DIV/0!</v>
      </c>
      <c r="HI4" s="36" t="e">
        <f>IF(Hotel_C_W_Median_Rating*((tbl_Hotel_Multi[[#This Row],[w (with recyc)]]-tbl_Hotel_Multi[[#This Row],[wr]])/(tbl_Hotel_Multi[[#This Row],[w5,CDD=0]]-tbl_Hotel_Multi[[#This Row],[wr]]))+Hotel_C_W_Median_Rating&lt;=5,Hotel_C_W_Median_Rating*((tbl_Hotel_Multi[[#This Row],[w (with recyc)]]-tbl_Hotel_Multi[[#This Row],[wr]])/(tbl_Hotel_Multi[[#This Row],[w5,CDD=0]]-tbl_Hotel_Multi[[#This Row],[wr]]))+Hotel_C_W_Median_Rating,
6.50001-2/tbl_Hotel_Multi[[#This Row],[w5,CDD=0]]*tbl_Hotel_Multi[[#This Row],[w (with recyc)]])</f>
        <v>#DIV/0!</v>
      </c>
      <c r="HJ4" s="36" t="e">
        <f>IF(Hotel_C_W_Median_Rating*((tbl_Hotel_Multi[[#This Row],[w (no recyc)]]-tbl_Hotel_Multi[[#This Row],[wr]])/(tbl_Hotel_Multi[[#This Row],[w5,CDD=0]]-tbl_Hotel_Multi[[#This Row],[wr]]))+Hotel_C_W_Median_Rating&lt;=5,Hotel_C_W_Median_Rating*((tbl_Hotel_Multi[[#This Row],[w (no recyc)]]-tbl_Hotel_Multi[[#This Row],[wr]])/(tbl_Hotel_Multi[[#This Row],[w5,CDD=0]]-tbl_Hotel_Multi[[#This Row],[wr]]))+Hotel_C_W_Median_Rating,
6.50001-2/tbl_Hotel_Multi[[#This Row],[w5,CDD=0]]*tbl_Hotel_Multi[[#This Row],[w (no recyc)]])</f>
        <v>#DIV/0!</v>
      </c>
    </row>
    <row r="5" spans="1:218" ht="16.5" customHeight="1">
      <c r="A5" s="484">
        <v>5.2</v>
      </c>
      <c r="B5" s="484">
        <v>1.5</v>
      </c>
      <c r="C5" s="485">
        <v>7000</v>
      </c>
      <c r="D5" s="485">
        <v>5</v>
      </c>
      <c r="E5" s="486">
        <v>375</v>
      </c>
      <c r="F5" s="486">
        <v>0</v>
      </c>
      <c r="G5" s="486">
        <v>1817.1</v>
      </c>
      <c r="H5" s="488">
        <v>1817.1</v>
      </c>
      <c r="I5" s="487">
        <v>0.49</v>
      </c>
      <c r="J5" s="487">
        <v>0.48</v>
      </c>
      <c r="K5" s="487">
        <v>0.03</v>
      </c>
      <c r="L5" s="554">
        <f>tbl_Hotel_Multi[[#This Row],[Target Residual (p)]]</f>
        <v>-0.6247475913354551</v>
      </c>
      <c r="M5" s="42">
        <f>tbl_Hotel_Multi[[#This Row],[Total Predicted Emissions (from A unrounded)]]</f>
        <v>13148848.544572268</v>
      </c>
      <c r="N5" s="42">
        <f>tbl_Hotel_Multi[[#This Row],[Target Max CO2]]</f>
        <v>4934137.0875160396</v>
      </c>
      <c r="O5" s="378">
        <f>tbl_Hotel_Multi[[#This Row],[Target Max e]]</f>
        <v>13157.698900042771</v>
      </c>
      <c r="P5" s="378">
        <f>tbl_Hotel_Multi[[#This Row],[Target Max Energy Intensity]]</f>
        <v>54293.224373938254</v>
      </c>
      <c r="Q5" s="42">
        <f>tbl_Hotel_Multi[[#This Row],[Target Scopes 1,2&amp;3]]</f>
        <v>1047484.8970400001</v>
      </c>
      <c r="R5" s="42">
        <f>tbl_Hotel_Multi[[#This Row],[Target Scopes 1&amp;2]]</f>
        <v>989861.81296000001</v>
      </c>
      <c r="S5" s="42">
        <f>tbl_Hotel_Multi[[#This Row],[Target Max Elec (kWh)]]</f>
        <v>2771216</v>
      </c>
      <c r="T5" s="42">
        <f>tbl_Hotel_Multi[[#This Row],[Target Max Gas (MJ)]]</f>
        <v>9772780</v>
      </c>
      <c r="U5" s="42">
        <f>tbl_Hotel_Multi[[#This Row],[Target Max Diesel (L)]]</f>
        <v>15823</v>
      </c>
      <c r="V5" s="42">
        <f>tbl_Hotel_Multi[[#This Row],[Predicted Total Water Consumption]]</f>
        <v>68007.488999999987</v>
      </c>
      <c r="W5" s="42">
        <f>tbl_Hotel_Multi[[#This Row],[Target Max Water (kL)]]</f>
        <v>91057</v>
      </c>
      <c r="X5" s="378">
        <f>tbl_Hotel_Multi[[#This Row],[Target max Water (kL/room)]]</f>
        <v>242.81990014027815</v>
      </c>
      <c r="Y5" s="285">
        <v>857096</v>
      </c>
      <c r="Z5" s="285">
        <v>2776993</v>
      </c>
      <c r="AA5" s="285">
        <v>7993</v>
      </c>
      <c r="AB5" s="43">
        <v>0</v>
      </c>
      <c r="AC5" s="285">
        <v>23761</v>
      </c>
      <c r="AD5" s="43">
        <v>0</v>
      </c>
      <c r="AE5" s="45" t="str">
        <f>INDEX(tbl_Climate_Lookup[],MATCH(tbl_Hotel_Multi[[Postcode]:[Postcode]],tbl_Climate_Lookup[[Postcode]:[Postcode]],0),MATCH(tbl_Hotel_Multi[[#Headers],[State]],tbl_Climate_Lookup[#Headers],0))</f>
        <v>TAS</v>
      </c>
      <c r="AF5" s="45">
        <f>INDEX(tbl_Climate_Lookup[],MATCH(tbl_Hotel_Multi[[Postcode]:[Postcode]],tbl_Climate_Lookup[[Postcode]:[Postcode]],0),MATCH(tbl_Hotel_Multi[[#Headers],[Climate zone]],tbl_Climate_Lookup[#Headers],0))</f>
        <v>26</v>
      </c>
      <c r="AG5" s="169">
        <f>INDEX(tbl_Climate_Lookup[],MATCH(tbl_Hotel_Multi[[Postcode]:[Postcode]],tbl_Climate_Lookup[[Postcode]:[Postcode]],0),MATCH(tbl_Hotel_Multi[[#Headers],[HDD]],tbl_Climate_Lookup[#Headers],0))</f>
        <v>2049</v>
      </c>
      <c r="AH5" s="169">
        <f>INDEX(tbl_Climate_Lookup[],MATCH(tbl_Hotel_Multi[[Postcode]:[Postcode]],tbl_Climate_Lookup[[Postcode]:[Postcode]],0),MATCH(tbl_Hotel_Multi[[#Headers],[CDD]],tbl_Climate_Lookup[#Headers],0))</f>
        <v>29</v>
      </c>
      <c r="AI5" s="45">
        <f>INDEX(tbl_SGE_Hotel_2008[],MATCH(tbl_Hotel_Multi[[State]:[State]],tbl_SGE_Hotel_2008[[State]:[State]],0),MATCH(tbl_Hotel_Multi[[#Headers],[SGEe2008]],tbl_SGE_Hotel_2008[#Headers],0))</f>
        <v>1</v>
      </c>
      <c r="AJ5" s="45">
        <f>INDEX(tbl_SGE_Hotel_2008[],MATCH(tbl_Hotel_Multi[[State]:[State]],tbl_SGE_Hotel_2008[[State]:[State]],0),MATCH(tbl_Hotel_Multi[[#Headers],[SGEg2008]],tbl_SGE_Hotel_2008[#Headers],0))</f>
        <v>0.20833333000000001</v>
      </c>
      <c r="AK5" s="45">
        <f>INDEX(tbl_SGE_Hotel_2008[],MATCH(tbl_Hotel_Multi[[State]:[State]],tbl_SGE_Hotel_2008[[State]:[State]],0),MATCH(tbl_Hotel_Multi[[#Headers],[SGEd2008]],tbl_SGE_Hotel_2008[#Headers],0))</f>
        <v>8.0417000000000005</v>
      </c>
      <c r="AL5" s="45">
        <f>INDEX(tbl_SGE_2020[],MATCH(tbl_Hotel_Multi[[State]:[State]],tbl_SGE_2020[[State]:[State]],0),MATCH(tbl_Hotel_Multi[[#Headers],[SGEe]],tbl_SGE_2020[#Headers],0))</f>
        <v>1</v>
      </c>
      <c r="AM5" s="45">
        <f>INDEX(tbl_SGE_2020[],MATCH(tbl_Hotel_Multi[[State]:[State]],tbl_SGE_2020[[State]:[State]],0),MATCH(tbl_Hotel_Multi[[#Headers],[SGEg]],tbl_SGE_2020[#Headers],0))</f>
        <v>0.20830000000000001</v>
      </c>
      <c r="AN5" s="45">
        <f>INDEX(tbl_SGE_2020[],MATCH(tbl_Hotel_Multi[[State]:[State]],tbl_SGE_2020[[State]:[State]],0),MATCH(tbl_Hotel_Multi[[#Headers],[SGEd]],tbl_SGE_2020[#Headers],0))</f>
        <v>8.0417000000000005</v>
      </c>
      <c r="AO5" s="45">
        <f>INDEX(tbl_Conversion_Factors[[Conversion Factors]:[Conversion Factors]],MATCH(tbl_Hotel_Multi[[#Headers],[CFelec]],tbl_Conversion_Factors[[Reference]:[Reference]],0))</f>
        <v>3.6</v>
      </c>
      <c r="AP5" s="45">
        <f>INDEX(tbl_Conversion_Factors[[Conversion Factors]:[Conversion Factors]],MATCH(tbl_Hotel_Multi[[#Headers],[CFdiesel]],tbl_Conversion_Factors[[Reference]:[Reference]],0))</f>
        <v>38.6</v>
      </c>
      <c r="AQ5" s="45">
        <f>tbl_Hotel_Multi[[#This Row],[SGEe]]/tbl_Hotel_Multi[[#This Row],[CFelec]]</f>
        <v>0.27777777777777779</v>
      </c>
      <c r="AR5" s="45">
        <f>tbl_Hotel_Multi[[#This Row],[SGEd]]/tbl_Hotel_Multi[[#This Row],[CFdiesel]]</f>
        <v>0.2083341968911917</v>
      </c>
      <c r="AS5" s="46">
        <f>IF(SUM(tbl_Hotel_Multi[[#This Row],[Electricity (%)]:[Diesel (%)]])=1,
SUM(tbl_Hotel_Multi[[#This Row],[Electricity (%)]]*tbl_Hotel_Multi[[#This Row],[SGEeMJ]],
tbl_Hotel_Multi[[#This Row],[Gas (%)]]*tbl_Hotel_Multi[[#This Row],[SGEg]],
tbl_Hotel_Multi[[#This Row],[Diesel (%)]]*tbl_Hotel_Multi[[#This Row],[SGEdMJ]]),
0)</f>
        <v>0.24234513701784691</v>
      </c>
      <c r="AT5" s="46">
        <f>INDEX(tbl_NGA_Factors_2021[],MATCH(tbl_Hotel_Multi[[State]:[State]],tbl_NGA_Factors_2021[[State]:[State]],0),MATCH(tbl_Hotel_Multi[[#Headers],[SGEe Scopes 1,2&amp;3]],tbl_NGA_Factors_2021[#Headers],0))</f>
        <v>0.18</v>
      </c>
      <c r="AU5" s="46">
        <f>INDEX(tbl_NGA_Factors_2021[],MATCH(tbl_Hotel_Multi[[State]:[State]],tbl_NGA_Factors_2021[[State]:[State]],0),MATCH(tbl_Hotel_Multi[[#Headers],[SGEg Scopes 1,2&amp;3]],tbl_NGA_Factors_2021[#Headers],0))</f>
        <v>5.1529999999999999E-2</v>
      </c>
      <c r="AV5" s="46">
        <f>INDEX(tbl_NGA_Factors_2021[],MATCH(tbl_Hotel_Multi[[State]:[State]],tbl_NGA_Factors_2021[[State]:[State]],0),MATCH(tbl_Hotel_Multi[[#Headers],[SGEd Scopes 1,2&amp;3]],tbl_NGA_Factors_2021[#Headers],0))</f>
        <v>2.8486799999999999</v>
      </c>
      <c r="AW5" s="46">
        <f>INDEX(tbl_NGA_Factors_2021[],MATCH(tbl_Hotel_Multi[[State]:[State]],tbl_NGA_Factors_2021[[State]:[State]],0),MATCH(tbl_Hotel_Multi[[#Headers],[SGEe Scopes 1&amp;2]],tbl_NGA_Factors_2021[#Headers],0))</f>
        <v>0.16</v>
      </c>
      <c r="AX5" s="46">
        <f>INDEX(tbl_NGA_Factors_2021[],MATCH(tbl_Hotel_Multi[[State]:[State]],tbl_NGA_Factors_2021[[State]:[State]],0),MATCH(tbl_Hotel_Multi[[#Headers],[SGEg Scopes 1&amp;2]],tbl_NGA_Factors_2021[#Headers],0))</f>
        <v>5.1529999999999999E-2</v>
      </c>
      <c r="AY5" s="46">
        <f>INDEX(tbl_NGA_Factors_2021[],MATCH(tbl_Hotel_Multi[[State]:[State]],tbl_NGA_Factors_2021[[State]:[State]],0),MATCH(tbl_Hotel_Multi[[#Headers],[SGEd Scopes 1&amp;2]],tbl_NGA_Factors_2021[#Headers],0))</f>
        <v>2.7097199999999999</v>
      </c>
      <c r="AZ5" s="169">
        <f>tbl_Hotel_Multi[[#This Row],[er]]*tbl_Hotel_Multi[[#This Row],[Rooms]]</f>
        <v>13148848.544572268</v>
      </c>
      <c r="BA5" s="262">
        <f>ROUND(INDEX(tbl_GHG_State_Factor[Hotel],MATCH(tbl_Hotel_Multi[[#This Row],[State]],tbl_GHG_State_Factor[Premise state],0)),3)</f>
        <v>1</v>
      </c>
      <c r="BB5" s="45">
        <f>SUM(tbl_Hotel_Multi[[#This Row],[9.8*HDD]],tbl_Hotel_Multi[[#This Row],[23087*nfsl/N]],tbl_Hotel_Multi[[#This Row],[10692*Aheatedpool/N]])*tbl_Hotel_Multi[[#This Row],[SGEg2008]]</f>
        <v>14976.948760368818</v>
      </c>
      <c r="BC5" s="45">
        <f>SUM(tbl_Hotel_Multi[[#This Row],[2.551*CDD]],tbl_Hotel_Multi[[#This Row],[4723*(S-2)]],tbl_Hotel_Multi[[#This Row],[1212*nfuncseats/N]],1176)*tbl_Hotel_Multi[[#This Row],[SGEe2008]]/Hotel_C_E_GGeneral_elec</f>
        <v>20086.647358490565</v>
      </c>
      <c r="BD5" s="45">
        <f>SUM(tbl_Hotel_Multi[[#This Row],[Ggas2008]],tbl_Hotel_Multi[[#This Row],[Ggeneral2008]])*tbl_Hotel_Multi[[#This Row],[A]]</f>
        <v>35063.596118859379</v>
      </c>
      <c r="BE5" s="45">
        <f>(tbl_Hotel_Multi[[#This Row],[Ggas2008]]+tbl_Hotel_Multi[[#This Row],[Ggeneral2008]])*tbl_Hotel_Multi[[#This Row],[A unrounded]]</f>
        <v>35063.596118859379</v>
      </c>
      <c r="BF5" s="45">
        <f>tbl_Hotel_Multi[[#This Row],[er]]*tbl_Hotel_Multi[[#This Row],[Zy]]</f>
        <v>35061.931727777192</v>
      </c>
      <c r="BG5" s="45">
        <f>Hotel_C_E_HDD*tbl_Hotel_Multi[[#This Row],[HDD]]</f>
        <v>20080.2</v>
      </c>
      <c r="BH5" s="45">
        <f>Hotel_C_E_Nfsl*tbl_Hotel_Multi[[#This Row],[nfsl]]/tbl_Hotel_Multi[[#This Row],[Rooms]]</f>
        <v>0</v>
      </c>
      <c r="BI5" s="45">
        <f>Hotel_C_E_Pool*tbl_Hotel_Multi[[#This Row],[Aheatedpool]]/tbl_Hotel_Multi[[#This Row],[Rooms]]</f>
        <v>51809.155200000001</v>
      </c>
      <c r="BJ5" s="45">
        <f>Hotel_C_E_Cooling*tbl_Hotel_Multi[[#This Row],[CDD]]</f>
        <v>73.978999999999999</v>
      </c>
      <c r="BK5" s="45">
        <f>Hotel_C_E_AAA_Rating*(tbl_Hotel_Multi[[#This Row],[AAAStar]]-2)</f>
        <v>14169</v>
      </c>
      <c r="BL5" s="45">
        <f>Hotel_C_E_Function_Seats*tbl_Hotel_Multi[[#This Row],[nfuncseats]]/tbl_Hotel_Multi[[#This Row],[Rooms]]</f>
        <v>5872.8671999999997</v>
      </c>
      <c r="BM5" s="169">
        <f>tbl_Hotel_Multi[[#This Row],[er (from A unrounded)]]*tbl_Hotel_Multi[[#This Row],[Rooms]]</f>
        <v>13148848.544572268</v>
      </c>
      <c r="BN5" s="169">
        <f>tbl_Hotel_Multi[[#This Row],[er (from Zy)]]*tbl_Hotel_Multi[[#This Row],[Rooms]]</f>
        <v>13148224.397916447</v>
      </c>
      <c r="BO5" s="45">
        <f>INDEX(tbl_GHG_State_Factor[Hotel],MATCH(tbl_Hotel_Multi[[#This Row],[State]],tbl_GHG_State_Factor[Premise state],0))</f>
        <v>1</v>
      </c>
      <c r="BP5" s="45">
        <f>(tbl_Hotel_Multi[[#This Row],[SGEg]]*tbl_Hotel_Multi[[#This Row],[FF]]+tbl_Hotel_Multi[[#This Row],[SGEe]]/tbl_Hotel_Multi[[#This Row],[CFelec]]*(1-tbl_Hotel_Multi[[#This Row],[FF]]))/(tbl_Hotel_Multi[[#This Row],[SGEg2008]]*tbl_Hotel_Multi[[#This Row],[FF]]+tbl_Hotel_Multi[[#This Row],[SGEe2008]]/tbl_Hotel_Multi[[#This Row],[CFelec]]*(1-tbl_Hotel_Multi[[#This Row],[FF]]))</f>
        <v>0.99995253221955482</v>
      </c>
      <c r="BQ5" s="45">
        <f>INDEX(tbl_FF_Lookup[FF],MATCH("Hotels",tbl_FF_Lookup[Tool],0))</f>
        <v>0.36</v>
      </c>
      <c r="BR5" s="36">
        <f>tbl_Hotel_Multi[[#This Row],[wr]]*tbl_Hotel_Multi[[#This Row],[Rooms]]</f>
        <v>68007.488999999987</v>
      </c>
      <c r="BS5" s="36">
        <f>Hotel_C_W_Offset+tbl_Hotel_Multi[[#This Row],[61.28*nfsl/N]]+tbl_Hotel_Multi[[#This Row],[19.24*(S-2)]]+tbl_Hotel_Multi[[#This Row],[0.0338*CDD]]+tbl_Hotel_Multi[[#This Row],[13.84*nfuncseats/N]]</f>
        <v>181.35330399999998</v>
      </c>
      <c r="BT5" s="36">
        <f>Hotel_C_W_Offset+tbl_Hotel_Multi[[#This Row],[61.28*nfsl/N]]+tbl_Hotel_Multi[[#This Row],[19.24*(S-2)]]+tbl_Hotel_Multi[[#This Row],[13.84*nfuncseats/N]]</f>
        <v>180.37310400000001</v>
      </c>
      <c r="BU5" s="36">
        <f>Hotel_C_W_Nfsl*tbl_Hotel_Multi[[#This Row],[nfsl]]/tbl_Hotel_Multi[[#This Row],[Rooms]]</f>
        <v>0</v>
      </c>
      <c r="BV5" s="38">
        <f>Hotel_C_W_AAA_Rating*(tbl_Hotel_Multi[[#This Row],[AAAStar]]-2)</f>
        <v>57.72</v>
      </c>
      <c r="BW5" s="36">
        <f>Hotel_C_W_Cooling*tbl_Hotel_Multi[[#This Row],[CDD]]</f>
        <v>0.98019999999999996</v>
      </c>
      <c r="BX5" s="36">
        <f>Hotel_C_W_Function_Seats*tbl_Hotel_Multi[[#This Row],[nfuncseats]]/tbl_Hotel_Multi[[#This Row],[Rooms]]</f>
        <v>67.063103999999996</v>
      </c>
      <c r="BY5" s="36">
        <f t="shared" si="5"/>
        <v>0.39203977410900048</v>
      </c>
      <c r="BZ5" s="36">
        <f>tbl_Hotel_Multi[[#This Row],[5 starCDD0 parameter calc]]*tbl_Hotel_Multi[[#This Row],[wr,CDD=0]]</f>
        <v>70.713430947499262</v>
      </c>
      <c r="CA5" s="48">
        <f>IF(tbl_Hotel_Multi[[#This Row],[Target Energy]]&gt;5,(tbl_Hotel_Multi[[#This Row],[Target Energy]]-Hotel_C_Reverse_Star_Band_Residual_Adjustment-Hotel_C_E_Median_R_above_5_stars)/(Hotel_C_E_Rating_Coefficient_above_5_stars),(tbl_Hotel_Multi[[#This Row],[Target Energy]]-Hotel_C_Reverse_Star_Band_Residual_Adjustment-Hotel_C_E_Median_Rating)/(Hotel_C_E_Rating_Coefficient))</f>
        <v>-0.6247475913354551</v>
      </c>
      <c r="CB5" s="44">
        <f>tbl_Hotel_Multi[[#This Row],[er]]*(tbl_Hotel_Multi[[#This Row],[Target Residual (p)]]+1)</f>
        <v>13157.698900042771</v>
      </c>
      <c r="CC5" s="44">
        <f>tbl_Hotel_Multi[[#This Row],[Target Max e]]*tbl_Hotel_Multi[[#This Row],[Rooms]]</f>
        <v>4934137.0875160396</v>
      </c>
      <c r="CD5" s="44">
        <f>tbl_Hotel_Multi[[#This Row],[Target Max CO2]]/tbl_Hotel_Multi[[#This Row],[EffGHG]]</f>
        <v>20359959.140226845</v>
      </c>
      <c r="CE5" s="44">
        <f>tbl_Hotel_Multi[[#This Row],[Target Max Energy (MJ)]]/tbl_Hotel_Multi[[#This Row],[Rooms]]</f>
        <v>54293.224373938254</v>
      </c>
      <c r="CF5" s="44">
        <f>ROUNDDOWN(tbl_Hotel_Multi[[#This Row],[Target Max Energy (MJ)]]*tbl_Hotel_Multi[[#This Row],[Electricity (%)]]/tbl_Hotel_Multi[[#This Row],[CFelec]],0)</f>
        <v>2771216</v>
      </c>
      <c r="CG5" s="44">
        <f>ROUNDDOWN(tbl_Hotel_Multi[[#This Row],[Target Max Energy (MJ)]]*tbl_Hotel_Multi[[#This Row],[Gas (%)]],0)</f>
        <v>9772780</v>
      </c>
      <c r="CH5" s="44">
        <f>ROUNDDOWN(tbl_Hotel_Multi[[#This Row],[Target Max Energy (MJ)]]*tbl_Hotel_Multi[[#This Row],[Diesel (%)]]/tbl_Hotel_Multi[[#This Row],[CFdiesel]],0)</f>
        <v>15823</v>
      </c>
      <c r="CI5" s="44">
        <f>SUM(tbl_Hotel_Multi[[#This Row],[Target Max Elec (kWh)]]*tbl_Hotel_Multi[[#This Row],[SGEe Scopes 1,2&amp;3]],
tbl_Hotel_Multi[[#This Row],[Target Max Gas (MJ)]]*tbl_Hotel_Multi[[#This Row],[SGEg Scopes 1,2&amp;3]],
tbl_Hotel_Multi[[#This Row],[Target Max Diesel (L)]]*tbl_Hotel_Multi[[#This Row],[SGEd Scopes 1,2&amp;3]])</f>
        <v>1047484.8970400001</v>
      </c>
      <c r="CJ5" s="44">
        <f>SUM(tbl_Hotel_Multi[[#This Row],[Target Max Elec (kWh)]]*tbl_Hotel_Multi[[#This Row],[SGEe Scopes 1&amp;2]],
tbl_Hotel_Multi[[#This Row],[Target Max Gas (MJ)]]*tbl_Hotel_Multi[[#This Row],[SGEg Scopes 1&amp;2]],
tbl_Hotel_Multi[[#This Row],[Target Max Diesel (L)]]*tbl_Hotel_Multi[[#This Row],[SGEd Scopes 1&amp;2]])</f>
        <v>989861.81296000001</v>
      </c>
      <c r="CK5" s="44">
        <f>ROUNDDOWN(tbl_Hotel_Multi[[#This Row],[Target max Water (kL/room)]]*tbl_Hotel_Multi[[#This Row],[Rooms]],0)</f>
        <v>91057</v>
      </c>
      <c r="CL5" s="47">
        <f>IF(tbl_Hotel_Multi[[#This Row],[Target Water]]&lt;=5,((tbl_Hotel_Multi[[#This Row],[Target Water]]-Hotel_C_Reverse_Star_Band_Residual_Adjustment-Hotel_C_W_Median_Rating)*(tbl_Hotel_Multi[[#This Row],[w5,CDD=0]]-tbl_Hotel_Multi[[#This Row],[wr]])/Hotel_C_W_Median_Rating+tbl_Hotel_Multi[[#This Row],[wr]]),
(6.50001+Hotel_C_Reverse_Star_Band_Residual_Adjustment-tbl_Hotel_Multi[[#This Row],[Target Water]])*tbl_Hotel_Multi[[#This Row],[w5,CDD=0]]/2)</f>
        <v>242.81990014027815</v>
      </c>
      <c r="CM5" s="36">
        <f>IF(LEFT(tbl_Hotel_Multi[[#Headers],[6.0* Max Residual]],3)*1&gt;5,(LEFT(tbl_Hotel_Multi[[#Headers],[6.0* Max Residual]],3)-Hotel_C_Reverse_Star_Band_Residual_Adjustment-Hotel_C_E_Median_R_above_5_stars)/(Hotel_C_E_Rating_Coefficient_above_5_stars),
(LEFT(tbl_Hotel_Multi[[#Headers],[6.0* Max Residual]],3)-Hotel_C_Reverse_Star_Band_Residual_Adjustment-Hotel_C_E_Median_Rating)/(Hotel_C_E_Rating_Coefficient))</f>
        <v>-0.79152551308679864</v>
      </c>
      <c r="CN5" s="36">
        <f>IF(LEFT(tbl_Hotel_Multi[[#Headers],[5.5* Max Residual]],3)*1&gt;5,(LEFT(tbl_Hotel_Multi[[#Headers],[5.5* Max Residual]],3)-Hotel_C_Reverse_Star_Band_Residual_Adjustment-Hotel_C_E_Median_R_above_5_stars)/(Hotel_C_E_Rating_Coefficient_above_5_stars),
(LEFT(tbl_Hotel_Multi[[#Headers],[5.5* Max Residual]],3)-Hotel_C_Reverse_Star_Band_Residual_Adjustment-Hotel_C_E_Median_Rating)/(Hotel_C_E_Rating_Coefficient))</f>
        <v>-0.68728931199220888</v>
      </c>
      <c r="CO5" s="36">
        <f>IF(LEFT(tbl_Hotel_Multi[[#Headers],[5.0* Max Residual]],3)*1&gt;5,(LEFT(tbl_Hotel_Multi[[#Headers],[5.0* Max Residual]],3)-Hotel_C_Reverse_Star_Band_Residual_Adjustment-Hotel_C_E_Median_R_above_5_stars)/(Hotel_C_E_Rating_Coefficient_above_5_stars),
(LEFT(tbl_Hotel_Multi[[#Headers],[5.0* Max Residual]],3)-Hotel_C_Reverse_Star_Band_Residual_Adjustment-Hotel_C_E_Median_Rating)/(Hotel_C_E_Rating_Coefficient))</f>
        <v>-0.58305260430163253</v>
      </c>
      <c r="CP5" s="36">
        <f>IF(LEFT(tbl_Hotel_Multi[[#Headers],[4.5* Max Residual]],3)*1&gt;5,(LEFT(tbl_Hotel_Multi[[#Headers],[4.5* Max Residual]],3)-Hotel_C_Reverse_Star_Band_Residual_Adjustment-Hotel_C_E_Median_R_above_5_stars)/(Hotel_C_E_Rating_Coefficient_above_5_stars),
(LEFT(tbl_Hotel_Multi[[#Headers],[4.5* Max Residual]],3)-Hotel_C_Reverse_Star_Band_Residual_Adjustment-Hotel_C_E_Median_Rating)/(Hotel_C_E_Rating_Coefficient))</f>
        <v>-0.45348535890126979</v>
      </c>
      <c r="CQ5" s="36">
        <f>IF(LEFT(tbl_Hotel_Multi[[#Headers],[4.0* Max Residual]],3)*1&gt;5,(LEFT(tbl_Hotel_Multi[[#Headers],[4.0* Max Residual]],3)-Hotel_C_Reverse_Star_Band_Residual_Adjustment-Hotel_C_E_Median_R_above_5_stars)/(Hotel_C_E_Rating_Coefficient_above_5_stars),
(LEFT(tbl_Hotel_Multi[[#Headers],[4.0* Max Residual]],3)-Hotel_C_Reverse_Star_Band_Residual_Adjustment-Hotel_C_E_Median_Rating)/(Hotel_C_E_Rating_Coefficient))</f>
        <v>-0.32391811350090699</v>
      </c>
      <c r="CR5" s="36">
        <f>IF(LEFT(tbl_Hotel_Multi[[#Headers],[3.5* Max Residual]],3)*1&gt;5,(LEFT(tbl_Hotel_Multi[[#Headers],[3.5* Max Residual]],3)-Hotel_C_Reverse_Star_Band_Residual_Adjustment-Hotel_C_E_Median_R_above_5_stars)/(Hotel_C_E_Rating_Coefficient_above_5_stars),
(LEFT(tbl_Hotel_Multi[[#Headers],[3.5* Max Residual]],3)-Hotel_C_Reverse_Star_Band_Residual_Adjustment-Hotel_C_E_Median_Rating)/(Hotel_C_E_Rating_Coefficient))</f>
        <v>-0.19435086810054419</v>
      </c>
      <c r="CS5" s="36">
        <f>IF(LEFT(tbl_Hotel_Multi[[#Headers],[3.0* Max Residual]],3)*1&gt;5,(LEFT(tbl_Hotel_Multi[[#Headers],[3.0* Max Residual]],3)-Hotel_C_Reverse_Star_Band_Residual_Adjustment-Hotel_C_E_Median_R_above_5_stars)/(Hotel_C_E_Rating_Coefficient_above_5_stars),
(LEFT(tbl_Hotel_Multi[[#Headers],[3.0* Max Residual]],3)-Hotel_C_Reverse_Star_Band_Residual_Adjustment-Hotel_C_E_Median_Rating)/(Hotel_C_E_Rating_Coefficient))</f>
        <v>-6.4783622700181398E-2</v>
      </c>
      <c r="CT5" s="36">
        <f>IF(LEFT(tbl_Hotel_Multi[[#Headers],[2.5* Max Residual]],3)*1&gt;5,(LEFT(tbl_Hotel_Multi[[#Headers],[2.5* Max Residual]],3)-Hotel_C_Reverse_Star_Band_Residual_Adjustment-Hotel_C_E_Median_R_above_5_stars)/(Hotel_C_E_Rating_Coefficient_above_5_stars),
(LEFT(tbl_Hotel_Multi[[#Headers],[2.5* Max Residual]],3)-Hotel_C_Reverse_Star_Band_Residual_Adjustment-Hotel_C_E_Median_Rating)/(Hotel_C_E_Rating_Coefficient))</f>
        <v>6.4783622700181398E-2</v>
      </c>
      <c r="CU5" s="36">
        <f>IF(LEFT(tbl_Hotel_Multi[[#Headers],[2.0* Max Residual]],3)*1&gt;5,(LEFT(tbl_Hotel_Multi[[#Headers],[2.0* Max Residual]],3)-Hotel_C_Reverse_Star_Band_Residual_Adjustment-Hotel_C_E_Median_R_above_5_stars)/(Hotel_C_E_Rating_Coefficient_above_5_stars),
(LEFT(tbl_Hotel_Multi[[#Headers],[2.0* Max Residual]],3)-Hotel_C_Reverse_Star_Band_Residual_Adjustment-Hotel_C_E_Median_Rating)/(Hotel_C_E_Rating_Coefficient))</f>
        <v>0.19435086810054419</v>
      </c>
      <c r="CV5" s="36">
        <f>IF(LEFT(tbl_Hotel_Multi[[#Headers],[1.5* Max Residual]],3)*1&gt;5,(LEFT(tbl_Hotel_Multi[[#Headers],[1.5* Max Residual]],3)-Hotel_C_Reverse_Star_Band_Residual_Adjustment-Hotel_C_E_Median_R_above_5_stars)/(Hotel_C_E_Rating_Coefficient_above_5_stars),
(LEFT(tbl_Hotel_Multi[[#Headers],[1.5* Max Residual]],3)-Hotel_C_Reverse_Star_Band_Residual_Adjustment-Hotel_C_E_Median_Rating)/(Hotel_C_E_Rating_Coefficient))</f>
        <v>0.32391811350090699</v>
      </c>
      <c r="CW5" s="36">
        <f>IF(LEFT(tbl_Hotel_Multi[[#Headers],[1.0* Max Residual]],3)*1&gt;5,(LEFT(tbl_Hotel_Multi[[#Headers],[1.0* Max Residual]],3)-Hotel_C_Reverse_Star_Band_Residual_Adjustment-Hotel_C_E_Median_R_above_5_stars)/(Hotel_C_E_Rating_Coefficient_above_5_stars),
(LEFT(tbl_Hotel_Multi[[#Headers],[1.0* Max Residual]],3)-Hotel_C_Reverse_Star_Band_Residual_Adjustment-Hotel_C_E_Median_Rating)/(Hotel_C_E_Rating_Coefficient))</f>
        <v>0.45348535890126979</v>
      </c>
      <c r="CX5" s="36">
        <f>IF(LEFT(tbl_Hotel_Multi[[#Headers],[0.0* Max Residual]],3)*1&gt;5,(LEFT(tbl_Hotel_Multi[[#Headers],[0.0* Max Residual]],3)-Hotel_C_Reverse_Star_Band_Residual_Adjustment-Hotel_C_E_Median_R_above_5_stars)/(Hotel_C_E_Rating_Coefficient_above_5_stars),
(LEFT(tbl_Hotel_Multi[[#Headers],[0.0* Max Residual]],3)-Hotel_C_Reverse_Star_Band_Residual_Adjustment-Hotel_C_E_Median_Rating)/(Hotel_C_E_Rating_Coefficient))</f>
        <v>0.71261984970199532</v>
      </c>
      <c r="CY5" s="36">
        <f>tbl_Hotel_Multi[[er]:[er]]*(tbl_Hotel_Multi[[#This Row],[6.0* Max Residual]]+1)</f>
        <v>7309.8652102109281</v>
      </c>
      <c r="CZ5" s="36">
        <f>tbl_Hotel_Multi[[er]:[er]]*(tbl_Hotel_Multi[[#This Row],[5.5* Max Residual]]+1)</f>
        <v>10964.76126635583</v>
      </c>
      <c r="DA5" s="36">
        <f>tbl_Hotel_Multi[[er]:[er]]*(tbl_Hotel_Multi[[#This Row],[5.0* Max Residual]]+1)</f>
        <v>14619.675085577803</v>
      </c>
      <c r="DB5" s="36">
        <f>tbl_Hotel_Multi[[er]:[er]]*(tbl_Hotel_Multi[[#This Row],[4.5* Max Residual]]+1)</f>
        <v>19162.768648529265</v>
      </c>
      <c r="DC5" s="36">
        <f>tbl_Hotel_Multi[[er]:[er]]*(tbl_Hotel_Multi[[#This Row],[4.0* Max Residual]]+1)</f>
        <v>23705.862211480722</v>
      </c>
      <c r="DD5" s="36">
        <f>tbl_Hotel_Multi[[er]:[er]]*(tbl_Hotel_Multi[[#This Row],[3.5* Max Residual]]+1)</f>
        <v>28248.95577443219</v>
      </c>
      <c r="DE5" s="36">
        <f>tbl_Hotel_Multi[[er]:[er]]*(tbl_Hotel_Multi[[#This Row],[3.0* Max Residual]]+1)</f>
        <v>32792.049337383643</v>
      </c>
      <c r="DF5" s="36">
        <f>tbl_Hotel_Multi[[er]:[er]]*(tbl_Hotel_Multi[[#This Row],[2.5* Max Residual]]+1)</f>
        <v>37335.142900335115</v>
      </c>
      <c r="DG5" s="36">
        <f>tbl_Hotel_Multi[[er]:[er]]*(tbl_Hotel_Multi[[#This Row],[2.0* Max Residual]]+1)</f>
        <v>41878.236463286572</v>
      </c>
      <c r="DH5" s="36">
        <f>tbl_Hotel_Multi[[er]:[er]]*(tbl_Hotel_Multi[[#This Row],[1.5* Max Residual]]+1)</f>
        <v>46421.330026238036</v>
      </c>
      <c r="DI5" s="36">
        <f>tbl_Hotel_Multi[[er]:[er]]*(tbl_Hotel_Multi[[#This Row],[1.0* Max Residual]]+1)</f>
        <v>50964.423589189493</v>
      </c>
      <c r="DJ5" s="36">
        <f>tbl_Hotel_Multi[[er]:[er]]*(tbl_Hotel_Multi[[#This Row],[0.0* Max Residual]]+1)</f>
        <v>60050.610715092414</v>
      </c>
      <c r="DK5" s="44">
        <f>tbl_Hotel_Multi[[#This Row],[6.0* Max e]]*tbl_Hotel_Multi[[Rooms]:[Rooms]]</f>
        <v>2741199.453829098</v>
      </c>
      <c r="DL5" s="44">
        <f>tbl_Hotel_Multi[[#This Row],[5.5* Max e]]*tbl_Hotel_Multi[[Rooms]:[Rooms]]</f>
        <v>4111785.4748834362</v>
      </c>
      <c r="DM5" s="44">
        <f>tbl_Hotel_Multi[[#This Row],[5.0* Max e]]*tbl_Hotel_Multi[[Rooms]:[Rooms]]</f>
        <v>5482378.1570916763</v>
      </c>
      <c r="DN5" s="44">
        <f>tbl_Hotel_Multi[[#This Row],[4.5* Max e]]*tbl_Hotel_Multi[[Rooms]:[Rooms]]</f>
        <v>7186038.2431984749</v>
      </c>
      <c r="DO5" s="44">
        <f>tbl_Hotel_Multi[[#This Row],[4.0* Max e]]*tbl_Hotel_Multi[[Rooms]:[Rooms]]</f>
        <v>8889698.3293052707</v>
      </c>
      <c r="DP5" s="44">
        <f>tbl_Hotel_Multi[[#This Row],[3.5* Max e]]*tbl_Hotel_Multi[[Rooms]:[Rooms]]</f>
        <v>10593358.415412072</v>
      </c>
      <c r="DQ5" s="44">
        <f>tbl_Hotel_Multi[[#This Row],[3.0* Max e]]*tbl_Hotel_Multi[[Rooms]:[Rooms]]</f>
        <v>12297018.501518866</v>
      </c>
      <c r="DR5" s="44">
        <f>tbl_Hotel_Multi[[#This Row],[2.5* Max e]]*tbl_Hotel_Multi[[Rooms]:[Rooms]]</f>
        <v>14000678.587625667</v>
      </c>
      <c r="DS5" s="44">
        <f>tbl_Hotel_Multi[[#This Row],[2.0* Max e]]*tbl_Hotel_Multi[[Rooms]:[Rooms]]</f>
        <v>15704338.673732465</v>
      </c>
      <c r="DT5" s="44">
        <f>tbl_Hotel_Multi[[#This Row],[1.5* Max e]]*tbl_Hotel_Multi[[Rooms]:[Rooms]]</f>
        <v>17407998.759839263</v>
      </c>
      <c r="DU5" s="44">
        <f>tbl_Hotel_Multi[[#This Row],[1.0* Max e]]*tbl_Hotel_Multi[[Rooms]:[Rooms]]</f>
        <v>19111658.845946059</v>
      </c>
      <c r="DV5" s="44">
        <f>tbl_Hotel_Multi[[#This Row],[0.0* Max e]]*tbl_Hotel_Multi[[Rooms]:[Rooms]]</f>
        <v>22518979.018159654</v>
      </c>
      <c r="DW5" s="44">
        <f>tbl_Hotel_Multi[[#This Row],[6.0* Max CO2]]/tbl_Hotel_Multi[[EffGHG]:[EffGHG]]</f>
        <v>11311138.682461902</v>
      </c>
      <c r="DX5" s="44">
        <f>tbl_Hotel_Multi[[#This Row],[5.5* Max CO2]]/tbl_Hotel_Multi[[EffGHG]:[EffGHG]]</f>
        <v>16966651.468564991</v>
      </c>
      <c r="DY5" s="44">
        <f>tbl_Hotel_Multi[[#This Row],[5.0* Max CO2]]/tbl_Hotel_Multi[[EffGHG]:[EffGHG]]</f>
        <v>22622191.740896951</v>
      </c>
      <c r="DZ5" s="44">
        <f>tbl_Hotel_Multi[[#This Row],[4.5* Max CO2]]/tbl_Hotel_Multi[[EffGHG]:[EffGHG]]</f>
        <v>29652083.518677235</v>
      </c>
      <c r="EA5" s="44">
        <f>tbl_Hotel_Multi[[#This Row],[4.0* Max CO2]]/tbl_Hotel_Multi[[EffGHG]:[EffGHG]]</f>
        <v>36681975.296457507</v>
      </c>
      <c r="EB5" s="44">
        <f>tbl_Hotel_Multi[[#This Row],[3.5* Max CO2]]/tbl_Hotel_Multi[[EffGHG]:[EffGHG]]</f>
        <v>43711867.074237809</v>
      </c>
      <c r="EC5" s="44">
        <f>tbl_Hotel_Multi[[#This Row],[3.0* Max CO2]]/tbl_Hotel_Multi[[EffGHG]:[EffGHG]]</f>
        <v>50741758.852018073</v>
      </c>
      <c r="ED5" s="44">
        <f>tbl_Hotel_Multi[[#This Row],[2.5* Max CO2]]/tbl_Hotel_Multi[[EffGHG]:[EffGHG]]</f>
        <v>57771650.629798368</v>
      </c>
      <c r="EE5" s="44">
        <f>tbl_Hotel_Multi[[#This Row],[2.0* Max CO2]]/tbl_Hotel_Multi[[EffGHG]:[EffGHG]]</f>
        <v>64801542.407578655</v>
      </c>
      <c r="EF5" s="44">
        <f>tbl_Hotel_Multi[[#This Row],[1.5* Max CO2]]/tbl_Hotel_Multi[[EffGHG]:[EffGHG]]</f>
        <v>71831434.185358927</v>
      </c>
      <c r="EG5" s="44">
        <f>tbl_Hotel_Multi[[#This Row],[1.0* Max CO2]]/tbl_Hotel_Multi[[EffGHG]:[EffGHG]]</f>
        <v>78861325.963139206</v>
      </c>
      <c r="EH5" s="44">
        <f>tbl_Hotel_Multi[[#This Row],[0.0* Max CO2]]/tbl_Hotel_Multi[[EffGHG]:[EffGHG]]</f>
        <v>92921109.518699765</v>
      </c>
      <c r="EI5" s="44">
        <f>ROUNDDOWN(tbl_Hotel_Multi[[#This Row],[6.0* Max Energy (MJ)]]*tbl_Hotel_Multi[[Electricity (%)]:[Electricity (%)]]/tbl_Hotel_Multi[[CFelec]:[CFelec]],0)</f>
        <v>1539571</v>
      </c>
      <c r="EJ5" s="44">
        <f>ROUNDDOWN(tbl_Hotel_Multi[[#This Row],[5.5* Max Energy (MJ)]]*tbl_Hotel_Multi[[Electricity (%)]:[Electricity (%)]]/tbl_Hotel_Multi[[CFelec]:[CFelec]],0)</f>
        <v>2309349</v>
      </c>
      <c r="EK5" s="44">
        <f>ROUNDDOWN(tbl_Hotel_Multi[[#This Row],[5.0* Max Energy (MJ)]]*tbl_Hotel_Multi[[Electricity (%)]:[Electricity (%)]]/tbl_Hotel_Multi[[CFelec]:[CFelec]],0)</f>
        <v>3079131</v>
      </c>
      <c r="EL5" s="44">
        <f>ROUNDDOWN(tbl_Hotel_Multi[[#This Row],[4.5* Max Energy (MJ)]]*tbl_Hotel_Multi[[Electricity (%)]:[Electricity (%)]]/tbl_Hotel_Multi[[CFelec]:[CFelec]],0)</f>
        <v>4035978</v>
      </c>
      <c r="EM5" s="44">
        <f>ROUNDDOWN(tbl_Hotel_Multi[[#This Row],[4.0* Max Energy (MJ)]]*tbl_Hotel_Multi[[Electricity (%)]:[Electricity (%)]]/tbl_Hotel_Multi[[CFelec]:[CFelec]],0)</f>
        <v>4992824</v>
      </c>
      <c r="EN5" s="44">
        <f>ROUNDDOWN(tbl_Hotel_Multi[[#This Row],[3.5* Max Energy (MJ)]]*tbl_Hotel_Multi[[Electricity (%)]:[Electricity (%)]]/tbl_Hotel_Multi[[CFelec]:[CFelec]],0)</f>
        <v>5949670</v>
      </c>
      <c r="EO5" s="44">
        <f>ROUNDDOWN(tbl_Hotel_Multi[[#This Row],[3.0* Max Energy (MJ)]]*tbl_Hotel_Multi[[Electricity (%)]:[Electricity (%)]]/tbl_Hotel_Multi[[CFelec]:[CFelec]],0)</f>
        <v>6906517</v>
      </c>
      <c r="EP5" s="44">
        <f>ROUNDDOWN(tbl_Hotel_Multi[[#This Row],[2.5* Max Energy (MJ)]]*tbl_Hotel_Multi[[Electricity (%)]:[Electricity (%)]]/tbl_Hotel_Multi[[CFelec]:[CFelec]],0)</f>
        <v>7863363</v>
      </c>
      <c r="EQ5" s="44">
        <f>ROUNDDOWN(tbl_Hotel_Multi[[#This Row],[2.0* Max Energy (MJ)]]*tbl_Hotel_Multi[[Electricity (%)]:[Electricity (%)]]/tbl_Hotel_Multi[[CFelec]:[CFelec]],0)</f>
        <v>8820209</v>
      </c>
      <c r="ER5" s="44">
        <f>ROUNDDOWN(tbl_Hotel_Multi[[#This Row],[1.5* Max Energy (MJ)]]*tbl_Hotel_Multi[[Electricity (%)]:[Electricity (%)]]/tbl_Hotel_Multi[[CFelec]:[CFelec]],0)</f>
        <v>9777056</v>
      </c>
      <c r="ES5" s="44">
        <f>ROUNDDOWN(tbl_Hotel_Multi[[#This Row],[1.0* Max Energy (MJ)]]*tbl_Hotel_Multi[[Electricity (%)]:[Electricity (%)]]/tbl_Hotel_Multi[[CFelec]:[CFelec]],0)</f>
        <v>10733902</v>
      </c>
      <c r="ET5" s="44">
        <f>ROUNDDOWN(tbl_Hotel_Multi[[#This Row],[0.0* Max Energy (MJ)]]*tbl_Hotel_Multi[[Electricity (%)]:[Electricity (%)]]/tbl_Hotel_Multi[[CFelec]:[CFelec]],0)</f>
        <v>12647595</v>
      </c>
      <c r="EU5" s="44">
        <f>ROUNDDOWN(tbl_Hotel_Multi[[#This Row],[6.0* Max Energy (MJ)]]*tbl_Hotel_Multi[[Gas (%)]:[Gas (%)]],0)</f>
        <v>5429346</v>
      </c>
      <c r="EV5" s="44">
        <f>ROUNDDOWN(tbl_Hotel_Multi[[#This Row],[5.5* Max Energy (MJ)]]*tbl_Hotel_Multi[[Gas (%)]:[Gas (%)]],0)</f>
        <v>8143992</v>
      </c>
      <c r="EW5" s="44">
        <f>ROUNDDOWN(tbl_Hotel_Multi[[#This Row],[5.0* Max Energy (MJ)]]*tbl_Hotel_Multi[[Gas (%)]:[Gas (%)]],0)</f>
        <v>10858652</v>
      </c>
      <c r="EX5" s="44">
        <f>ROUNDDOWN(tbl_Hotel_Multi[[#This Row],[4.5* Max Energy (MJ)]]*tbl_Hotel_Multi[[Gas (%)]:[Gas (%)]],0)</f>
        <v>14233000</v>
      </c>
      <c r="EY5" s="44">
        <f>ROUNDDOWN(tbl_Hotel_Multi[[#This Row],[4.0* Max Energy (MJ)]]*tbl_Hotel_Multi[[Gas (%)]:[Gas (%)]],0)</f>
        <v>17607348</v>
      </c>
      <c r="EZ5" s="44">
        <f>ROUNDDOWN(tbl_Hotel_Multi[[#This Row],[3.5* Max Energy (MJ)]]*tbl_Hotel_Multi[[Gas (%)]:[Gas (%)]],0)</f>
        <v>20981696</v>
      </c>
      <c r="FA5" s="44">
        <f>ROUNDDOWN(tbl_Hotel_Multi[[#This Row],[3.0* Max Energy (MJ)]]*tbl_Hotel_Multi[[Gas (%)]:[Gas (%)]],0)</f>
        <v>24356044</v>
      </c>
      <c r="FB5" s="44">
        <f>ROUNDDOWN(tbl_Hotel_Multi[[#This Row],[2.5* Max Energy (MJ)]]*tbl_Hotel_Multi[[Gas (%)]:[Gas (%)]],0)</f>
        <v>27730392</v>
      </c>
      <c r="FC5" s="44">
        <f>ROUNDDOWN(tbl_Hotel_Multi[[#This Row],[2.0* Max Energy (MJ)]]*tbl_Hotel_Multi[[Gas (%)]:[Gas (%)]],0)</f>
        <v>31104740</v>
      </c>
      <c r="FD5" s="44">
        <f>ROUNDDOWN(tbl_Hotel_Multi[[#This Row],[1.5* Max Energy (MJ)]]*tbl_Hotel_Multi[[Gas (%)]:[Gas (%)]],0)</f>
        <v>34479088</v>
      </c>
      <c r="FE5" s="44">
        <f>ROUNDDOWN(tbl_Hotel_Multi[[#This Row],[1.0* Max Energy (MJ)]]*tbl_Hotel_Multi[[Gas (%)]:[Gas (%)]],0)</f>
        <v>37853436</v>
      </c>
      <c r="FF5" s="44">
        <f>ROUNDDOWN(tbl_Hotel_Multi[[#This Row],[0.0* Max Energy (MJ)]]*tbl_Hotel_Multi[[Gas (%)]:[Gas (%)]],0)</f>
        <v>44602132</v>
      </c>
      <c r="FG5" s="44">
        <f>ROUNDDOWN(tbl_Hotel_Multi[[#This Row],[6.0* Max Energy (MJ)]]*tbl_Hotel_Multi[[Diesel (%)]:[Diesel (%)]]/tbl_Hotel_Multi[[CFdiesel]:[CFdiesel]],0)</f>
        <v>8791</v>
      </c>
      <c r="FH5" s="44">
        <f>ROUNDDOWN(tbl_Hotel_Multi[[#This Row],[5.5* Max Energy (MJ)]]*tbl_Hotel_Multi[[Diesel (%)]:[Diesel (%)]]/tbl_Hotel_Multi[[CFdiesel]:[CFdiesel]],0)</f>
        <v>13186</v>
      </c>
      <c r="FI5" s="44">
        <f>ROUNDDOWN(tbl_Hotel_Multi[[#This Row],[5.0* Max Energy (MJ)]]*tbl_Hotel_Multi[[Diesel (%)]:[Diesel (%)]]/tbl_Hotel_Multi[[CFdiesel]:[CFdiesel]],0)</f>
        <v>17582</v>
      </c>
      <c r="FJ5" s="44">
        <f>ROUNDDOWN(tbl_Hotel_Multi[[#This Row],[4.5* Max Energy (MJ)]]*tbl_Hotel_Multi[[Diesel (%)]:[Diesel (%)]]/tbl_Hotel_Multi[[CFdiesel]:[CFdiesel]],0)</f>
        <v>23045</v>
      </c>
      <c r="FK5" s="44">
        <f>ROUNDDOWN(tbl_Hotel_Multi[[#This Row],[4.0* Max Energy (MJ)]]*tbl_Hotel_Multi[[Diesel (%)]:[Diesel (%)]]/tbl_Hotel_Multi[[CFdiesel]:[CFdiesel]],0)</f>
        <v>28509</v>
      </c>
      <c r="FL5" s="44">
        <f>ROUNDDOWN(tbl_Hotel_Multi[[#This Row],[3.5* Max Energy (MJ)]]*tbl_Hotel_Multi[[Diesel (%)]:[Diesel (%)]]/tbl_Hotel_Multi[[CFdiesel]:[CFdiesel]],0)</f>
        <v>33972</v>
      </c>
      <c r="FM5" s="44">
        <f>ROUNDDOWN(tbl_Hotel_Multi[[#This Row],[3.0* Max Energy (MJ)]]*tbl_Hotel_Multi[[Diesel (%)]:[Diesel (%)]]/tbl_Hotel_Multi[[CFdiesel]:[CFdiesel]],0)</f>
        <v>39436</v>
      </c>
      <c r="FN5" s="44">
        <f>ROUNDDOWN(tbl_Hotel_Multi[[#This Row],[2.5* Max Energy (MJ)]]*tbl_Hotel_Multi[[Diesel (%)]:[Diesel (%)]]/tbl_Hotel_Multi[[CFdiesel]:[CFdiesel]],0)</f>
        <v>44900</v>
      </c>
      <c r="FO5" s="44">
        <f>ROUNDDOWN(tbl_Hotel_Multi[[#This Row],[2.0* Max Energy (MJ)]]*tbl_Hotel_Multi[[Diesel (%)]:[Diesel (%)]]/tbl_Hotel_Multi[[CFdiesel]:[CFdiesel]],0)</f>
        <v>50363</v>
      </c>
      <c r="FP5" s="44">
        <f>ROUNDDOWN(tbl_Hotel_Multi[[#This Row],[1.5* Max Energy (MJ)]]*tbl_Hotel_Multi[[Diesel (%)]:[Diesel (%)]]/tbl_Hotel_Multi[[CFdiesel]:[CFdiesel]],0)</f>
        <v>55827</v>
      </c>
      <c r="FQ5" s="44">
        <f>ROUNDDOWN(tbl_Hotel_Multi[[#This Row],[1.0* Max Energy (MJ)]]*tbl_Hotel_Multi[[Diesel (%)]:[Diesel (%)]]/tbl_Hotel_Multi[[CFdiesel]:[CFdiesel]],0)</f>
        <v>61291</v>
      </c>
      <c r="FR5" s="44">
        <f>ROUNDDOWN(tbl_Hotel_Multi[[#This Row],[0.0* Max Energy (MJ)]]*tbl_Hotel_Multi[[Diesel (%)]:[Diesel (%)]]/tbl_Hotel_Multi[[CFdiesel]:[CFdiesel]],0)</f>
        <v>72218</v>
      </c>
      <c r="FS5" s="47">
        <f>IF(LEFT(tbl_Hotel_Multi[[#Headers],[6.0* Max Water (kL/room)]],3)*1&lt;=5,((LEFT(tbl_Hotel_Multi[[#Headers],[6.0* Max Water (kL/room)]],3)-Hotel_C_Reverse_Star_Band_Residual_Adjustment-Hotel_C_W_Median_Rating)*(tbl_Hotel_Multi[[w5,CDD=0]:[w5,CDD=0]]-tbl_Hotel_Multi[[wr]:[wr]])/Hotel_C_W_Median_Rating+tbl_Hotel_Multi[[wr]:[wr]]),
(6.50001+Hotel_C_Reverse_Star_Band_Residual_Adjustment-LEFT(tbl_Hotel_Multi[[#Headers],[6.0* Max Water (kL/room)]],3))*tbl_Hotel_Multi[[w5,CDD=0]:[w5,CDD=0]]/2)</f>
        <v>35.357069040904356</v>
      </c>
      <c r="FT5" s="47">
        <f>IF(LEFT(tbl_Hotel_Multi[[#Headers],[5.5* Max Water (kL/room)]],3)*1&lt;=5,((LEFT(tbl_Hotel_Multi[[#Headers],[5.5* Max Water (kL/room)]],3)-Hotel_C_Reverse_Star_Band_Residual_Adjustment-Hotel_C_W_Median_Rating)*(tbl_Hotel_Multi[[w5,CDD=0]:[w5,CDD=0]]-tbl_Hotel_Multi[[wr]:[wr]])/Hotel_C_W_Median_Rating+tbl_Hotel_Multi[[wr]:[wr]]),
(6.50001+Hotel_C_Reverse_Star_Band_Residual_Adjustment-LEFT(tbl_Hotel_Multi[[#Headers],[5.5* Max Water (kL/room)]],3))*tbl_Hotel_Multi[[w5,CDD=0]:[w5,CDD=0]]/2)</f>
        <v>53.035426777779172</v>
      </c>
      <c r="FU5" s="47">
        <f>IF(LEFT(tbl_Hotel_Multi[[#Headers],[5.0* Max Water (kL/room)]],3)*1&lt;=5,((LEFT(tbl_Hotel_Multi[[#Headers],[5.0* Max Water (kL/room)]],3)-Hotel_C_Reverse_Star_Band_Residual_Adjustment-Hotel_C_W_Median_Rating)*(tbl_Hotel_Multi[[w5,CDD=0]:[w5,CDD=0]]-tbl_Hotel_Multi[[wr]:[wr]])/Hotel_C_W_Median_Rating+tbl_Hotel_Multi[[wr]:[wr]]),
(6.50001+Hotel_C_Reverse_Star_Band_Residual_Adjustment-LEFT(tbl_Hotel_Multi[[#Headers],[5.0* Max Water (kL/room)]],3))*tbl_Hotel_Multi[[w5,CDD=0]:[w5,CDD=0]]/2)</f>
        <v>70.713430947499262</v>
      </c>
      <c r="FV5" s="47">
        <f>IF(LEFT(tbl_Hotel_Multi[[#Headers],[4.5* Max Water (kL/room)]],3)*1&lt;=5,((LEFT(tbl_Hotel_Multi[[#Headers],[4.5* Max Water (kL/room)]],3)-Hotel_C_Reverse_Star_Band_Residual_Adjustment-Hotel_C_W_Median_Rating)*(tbl_Hotel_Multi[[w5,CDD=0]:[w5,CDD=0]]-tbl_Hotel_Multi[[wr]:[wr]])/Hotel_C_W_Median_Rating+tbl_Hotel_Multi[[wr]:[wr]]),
(6.50001+Hotel_C_Reverse_Star_Band_Residual_Adjustment-LEFT(tbl_Hotel_Multi[[#Headers],[4.5* Max Water (kL/room)]],3))*tbl_Hotel_Multi[[w5,CDD=0]:[w5,CDD=0]]/2)</f>
        <v>95.300069403610522</v>
      </c>
      <c r="FW5" s="47">
        <f>IF(LEFT(tbl_Hotel_Multi[[#Headers],[4.0* Max Water (kL/room)]],3)*1&lt;=5,((LEFT(tbl_Hotel_Multi[[#Headers],[4.0* Max Water (kL/room)]],3)-Hotel_C_Reverse_Star_Band_Residual_Adjustment-Hotel_C_W_Median_Rating)*(tbl_Hotel_Multi[[w5,CDD=0]:[w5,CDD=0]]-tbl_Hotel_Multi[[wr]:[wr]])/Hotel_C_W_Median_Rating+tbl_Hotel_Multi[[wr]:[wr]]),
(6.50001+Hotel_C_Reverse_Star_Band_Residual_Adjustment-LEFT(tbl_Hotel_Multi[[#Headers],[4.0* Max Water (kL/room)]],3))*tbl_Hotel_Multi[[w5,CDD=0]:[w5,CDD=0]]/2)</f>
        <v>119.88670785972181</v>
      </c>
      <c r="FX5" s="47">
        <f>IF(LEFT(tbl_Hotel_Multi[[#Headers],[3.5* Max Water (kL/room)]],3)*1&lt;=5,((LEFT(tbl_Hotel_Multi[[#Headers],[3.5* Max Water (kL/room)]],3)-Hotel_C_Reverse_Star_Band_Residual_Adjustment-Hotel_C_W_Median_Rating)*(tbl_Hotel_Multi[[w5,CDD=0]:[w5,CDD=0]]-tbl_Hotel_Multi[[wr]:[wr]])/Hotel_C_W_Median_Rating+tbl_Hotel_Multi[[wr]:[wr]]),
(6.50001+Hotel_C_Reverse_Star_Band_Residual_Adjustment-LEFT(tbl_Hotel_Multi[[#Headers],[3.5* Max Water (kL/room)]],3))*tbl_Hotel_Multi[[w5,CDD=0]:[w5,CDD=0]]/2)</f>
        <v>144.47334631583308</v>
      </c>
      <c r="FY5" s="47">
        <f>IF(LEFT(tbl_Hotel_Multi[[#Headers],[3.0* Max Water (kL/room)]],3)*1&lt;=5,((LEFT(tbl_Hotel_Multi[[#Headers],[3.0* Max Water (kL/room)]],3)-Hotel_C_Reverse_Star_Band_Residual_Adjustment-Hotel_C_W_Median_Rating)*(tbl_Hotel_Multi[[w5,CDD=0]:[w5,CDD=0]]-tbl_Hotel_Multi[[wr]:[wr]])/Hotel_C_W_Median_Rating+tbl_Hotel_Multi[[wr]:[wr]]),
(6.50001+Hotel_C_Reverse_Star_Band_Residual_Adjustment-LEFT(tbl_Hotel_Multi[[#Headers],[3.0* Max Water (kL/room)]],3))*tbl_Hotel_Multi[[w5,CDD=0]:[w5,CDD=0]]/2)</f>
        <v>169.05998477194436</v>
      </c>
      <c r="FZ5" s="47">
        <f>IF(LEFT(tbl_Hotel_Multi[[#Headers],[2.5* Max Water (kL/room)]],3)*1&lt;=5,((LEFT(tbl_Hotel_Multi[[#Headers],[2.5* Max Water (kL/room)]],3)-Hotel_C_Reverse_Star_Band_Residual_Adjustment-Hotel_C_W_Median_Rating)*(tbl_Hotel_Multi[[w5,CDD=0]:[w5,CDD=0]]-tbl_Hotel_Multi[[wr]:[wr]])/Hotel_C_W_Median_Rating+tbl_Hotel_Multi[[wr]:[wr]]),
(6.50001+Hotel_C_Reverse_Star_Band_Residual_Adjustment-LEFT(tbl_Hotel_Multi[[#Headers],[2.5* Max Water (kL/room)]],3))*tbl_Hotel_Multi[[w5,CDD=0]:[w5,CDD=0]]/2)</f>
        <v>193.6466232280556</v>
      </c>
      <c r="GA5" s="47">
        <f>IF(LEFT(tbl_Hotel_Multi[[#Headers],[2.0* Max Water (kL/room)]],3)*1&lt;=5,((LEFT(tbl_Hotel_Multi[[#Headers],[2.0* Max Water (kL/room)]],3)-Hotel_C_Reverse_Star_Band_Residual_Adjustment-Hotel_C_W_Median_Rating)*(tbl_Hotel_Multi[[w5,CDD=0]:[w5,CDD=0]]-tbl_Hotel_Multi[[wr]:[wr]])/Hotel_C_W_Median_Rating+tbl_Hotel_Multi[[wr]:[wr]]),
(6.50001+Hotel_C_Reverse_Star_Band_Residual_Adjustment-LEFT(tbl_Hotel_Multi[[#Headers],[2.0* Max Water (kL/room)]],3))*tbl_Hotel_Multi[[w5,CDD=0]:[w5,CDD=0]]/2)</f>
        <v>218.23326168416688</v>
      </c>
      <c r="GB5" s="47">
        <f>IF(LEFT(tbl_Hotel_Multi[[#Headers],[1.5* Max Water (kL/room)]],3)*1&lt;=5,((LEFT(tbl_Hotel_Multi[[#Headers],[1.5* Max Water (kL/room)]],3)-Hotel_C_Reverse_Star_Band_Residual_Adjustment-Hotel_C_W_Median_Rating)*(tbl_Hotel_Multi[[w5,CDD=0]:[w5,CDD=0]]-tbl_Hotel_Multi[[wr]:[wr]])/Hotel_C_W_Median_Rating+tbl_Hotel_Multi[[wr]:[wr]]),
(6.50001+Hotel_C_Reverse_Star_Band_Residual_Adjustment-LEFT(tbl_Hotel_Multi[[#Headers],[1.5* Max Water (kL/room)]],3))*tbl_Hotel_Multi[[w5,CDD=0]:[w5,CDD=0]]/2)</f>
        <v>242.81990014027815</v>
      </c>
      <c r="GC5" s="47">
        <f>IF(LEFT(tbl_Hotel_Multi[[#Headers],[1.0* Max Water (kL/room)]],3)*1&lt;=5,((LEFT(tbl_Hotel_Multi[[#Headers],[1.0* Max Water (kL/room)]],3)-Hotel_C_Reverse_Star_Band_Residual_Adjustment-Hotel_C_W_Median_Rating)*(tbl_Hotel_Multi[[w5,CDD=0]:[w5,CDD=0]]-tbl_Hotel_Multi[[wr]:[wr]])/Hotel_C_W_Median_Rating+tbl_Hotel_Multi[[wr]:[wr]]),
(6.50001+Hotel_C_Reverse_Star_Band_Residual_Adjustment-LEFT(tbl_Hotel_Multi[[#Headers],[1.0* Max Water (kL/room)]],3))*tbl_Hotel_Multi[[w5,CDD=0]:[w5,CDD=0]]/2)</f>
        <v>267.40653859638945</v>
      </c>
      <c r="GD5" s="47">
        <f>IF(LEFT(tbl_Hotel_Multi[[#Headers],[0.0* Max Water (kL/room)]],3)*1&lt;=5,((LEFT(tbl_Hotel_Multi[[#Headers],[0.0* Max Water (kL/room)]],3)-Hotel_C_Reverse_Star_Band_Residual_Adjustment-Hotel_C_W_Median_Rating)*(tbl_Hotel_Multi[[w5,CDD=0]:[w5,CDD=0]]-tbl_Hotel_Multi[[wr]:[wr]])/Hotel_C_W_Median_Rating+tbl_Hotel_Multi[[wr]:[wr]]),
(6.50001+Hotel_C_Reverse_Star_Band_Residual_Adjustment-LEFT(tbl_Hotel_Multi[[#Headers],[0.0* Max Water (kL/room)]],3))*tbl_Hotel_Multi[[w5,CDD=0]:[w5,CDD=0]]/2)</f>
        <v>316.579815508612</v>
      </c>
      <c r="GE5" s="44">
        <f>ROUNDDOWN(tbl_Hotel_Multi[[#This Row],[6.0* Max Water (kL/room)]]*tbl_Hotel_Multi[[Rooms]:[Rooms]],0)</f>
        <v>13258</v>
      </c>
      <c r="GF5" s="44">
        <f>ROUNDDOWN(tbl_Hotel_Multi[[#This Row],[5.5* Max Water (kL/room)]]*tbl_Hotel_Multi[[Rooms]:[Rooms]],0)</f>
        <v>19888</v>
      </c>
      <c r="GG5" s="44">
        <f>ROUNDDOWN(tbl_Hotel_Multi[[#This Row],[5.0* Max Water (kL/room)]]*tbl_Hotel_Multi[[Rooms]:[Rooms]],0)</f>
        <v>26517</v>
      </c>
      <c r="GH5" s="44">
        <f>ROUNDDOWN(tbl_Hotel_Multi[[#This Row],[4.5* Max Water (kL/room)]]*tbl_Hotel_Multi[[Rooms]:[Rooms]],0)</f>
        <v>35737</v>
      </c>
      <c r="GI5" s="44">
        <f>ROUNDDOWN(tbl_Hotel_Multi[[#This Row],[4.0* Max Water (kL/room)]]*tbl_Hotel_Multi[[Rooms]:[Rooms]],0)</f>
        <v>44957</v>
      </c>
      <c r="GJ5" s="44">
        <f>ROUNDDOWN(tbl_Hotel_Multi[[#This Row],[3.5* Max Water (kL/room)]]*tbl_Hotel_Multi[[Rooms]:[Rooms]],0)</f>
        <v>54177</v>
      </c>
      <c r="GK5" s="44">
        <f>ROUNDDOWN(tbl_Hotel_Multi[[#This Row],[3.0* Max Water (kL/room)]]*tbl_Hotel_Multi[[Rooms]:[Rooms]],0)</f>
        <v>63397</v>
      </c>
      <c r="GL5" s="44">
        <f>ROUNDDOWN(tbl_Hotel_Multi[[#This Row],[2.5* Max Water (kL/room)]]*tbl_Hotel_Multi[[Rooms]:[Rooms]],0)</f>
        <v>72617</v>
      </c>
      <c r="GM5" s="44">
        <f>ROUNDDOWN(tbl_Hotel_Multi[[#This Row],[2.0* Max Water (kL/room)]]*tbl_Hotel_Multi[[Rooms]:[Rooms]],0)</f>
        <v>81837</v>
      </c>
      <c r="GN5" s="44">
        <f>ROUNDDOWN(tbl_Hotel_Multi[[#This Row],[1.5* Max Water (kL/room)]]*tbl_Hotel_Multi[[Rooms]:[Rooms]],0)</f>
        <v>91057</v>
      </c>
      <c r="GO5" s="44">
        <f>ROUNDDOWN(tbl_Hotel_Multi[[#This Row],[1.0* Max Water (kL/room)]]*tbl_Hotel_Multi[[Rooms]:[Rooms]],0)</f>
        <v>100277</v>
      </c>
      <c r="GP5" s="44">
        <f>ROUNDDOWN(tbl_Hotel_Multi[[#This Row],[0.0* Max Water (kL/room)]]*tbl_Hotel_Multi[[Rooms]:[Rooms]],0)</f>
        <v>118717</v>
      </c>
      <c r="GQ5" s="44">
        <f>SUM(tbl_Hotel_Multi[[#This Row],[Electricity]]*(1-tbl_Hotel_Multi[[#This Row],[GP]])*tbl_Hotel_Multi[[#This Row],[SGEe Scopes 1,2&amp;3]],
tbl_Hotel_Multi[[#This Row],[Gas]]*tbl_Hotel_Multi[[#This Row],[SGEg Scopes 1,2&amp;3]],
tbl_Hotel_Multi[[#This Row],[Diesel]]*tbl_Hotel_Multi[[#This Row],[SGEd Scopes 1,2&amp;3]])</f>
        <v>320145.22852999996</v>
      </c>
      <c r="GR5" s="44">
        <f>SUM(tbl_Hotel_Multi[[#This Row],[Electricity]]*(1-tbl_Hotel_Multi[[#This Row],[GP]])*tbl_Hotel_Multi[[#This Row],[SGEe Scopes 1&amp;2]],
tbl_Hotel_Multi[[#This Row],[Gas]]*tbl_Hotel_Multi[[#This Row],[SGEg Scopes 1&amp;2]],
tbl_Hotel_Multi[[#This Row],[Diesel]]*tbl_Hotel_Multi[[#This Row],[SGEd Scopes 1&amp;2]])</f>
        <v>301892.60125000001</v>
      </c>
      <c r="GS5" s="45">
        <f>IF(tbl_Hotel_Multi[[#This Row],[Energy Star Decimal (with GP)]]&lt;1,0,MIN(ROUNDDOWN(tbl_Hotel_Multi[[#This Row],[Energy Star Decimal (with GP)]]*2,0)/2,6))</f>
        <v>6</v>
      </c>
      <c r="GT5" s="45">
        <f>tbl_Hotel_Multi[[#This Row],[R (with GP)]]+Hotel_C_FWD_Star_Band_Residual_Adjustment</f>
        <v>6.4528641343044466</v>
      </c>
      <c r="GU5" s="45">
        <f>IF(tbl_Hotel_Multi[[#This Row],[Energy Star Decimal (no GP)]]&lt;1,0,MIN(ROUNDDOWN(tbl_Hotel_Multi[[#This Row],[Energy Star Decimal (no GP)]]*2,0)/2,6))</f>
        <v>6</v>
      </c>
      <c r="GV5" s="45">
        <f>tbl_Hotel_Multi[[#This Row],[R (no GP)]]+Hotel_C_FWD_Star_Band_Residual_Adjustment</f>
        <v>6.4528641343044466</v>
      </c>
      <c r="GW5" s="45">
        <f>IF(Hotel_C_E_Median_Rating+Hotel_C_E_Rating_Coefficient*tbl_Hotel_Multi[[#This Row],[p (with GP)]]&gt;5,Hotel_C_E_Median_R_above_5_stars+Hotel_C_E_Rating_Coefficient_above_5_stars*tbl_Hotel_Multi[[#This Row],[p (with GP)]],Hotel_C_E_Median_Rating+Hotel_C_E_Rating_Coefficient*tbl_Hotel_Multi[[#This Row],[p (with GP)]])</f>
        <v>5.9528641343044466</v>
      </c>
      <c r="GX5" s="45">
        <f>IF(Hotel_C_E_Median_Rating+Hotel_C_E_Rating_Coefficient*tbl_Hotel_Multi[[#This Row],[p (no GP)]]&gt;5,Hotel_C_E_Median_R_above_5_stars+Hotel_C_E_Rating_Coefficient_above_5_stars*tbl_Hotel_Multi[[#This Row],[p (no GP)]],Hotel_C_E_Median_Rating+Hotel_C_E_Rating_Coefficient*tbl_Hotel_Multi[[#This Row],[p (no GP)]])</f>
        <v>5.9528641343044466</v>
      </c>
      <c r="GY5" s="45">
        <f>SUM(tbl_Hotel_Multi[[#This Row],[Electricity]]*(1-tbl_Hotel_Multi[[#This Row],[GP]])*tbl_Hotel_Multi[[#This Row],[SGEe]],
tbl_Hotel_Multi[[#This Row],[Gas]]*tbl_Hotel_Multi[[#This Row],[SGEg]],
tbl_Hotel_Multi[[#This Row],[Diesel]]*tbl_Hotel_Multi[[#This Row],[SGEd]])
/tbl_Hotel_Multi[[#This Row],[Rooms]]</f>
        <v>3999.5225333333337</v>
      </c>
      <c r="GZ5" s="45">
        <f>SUM(tbl_Hotel_Multi[[#This Row],[Electricity]]*tbl_Hotel_Multi[[#This Row],[SGEe]],
tbl_Hotel_Multi[[#This Row],[Gas]]*tbl_Hotel_Multi[[#This Row],[SGEg]],
tbl_Hotel_Multi[[#This Row],[Diesel]]*tbl_Hotel_Multi[[#This Row],[SGEd]])
/tbl_Hotel_Multi[[#This Row],[Rooms]]</f>
        <v>3999.5225333333337</v>
      </c>
      <c r="HA5" s="45">
        <f>(tbl_Hotel_Multi[[#This Row],[e (with GP)]]-tbl_Hotel_Multi[[#This Row],[er (from A unrounded)]])/tbl_Hotel_Multi[[#This Row],[er (from A unrounded)]]</f>
        <v>-0.88593518703056984</v>
      </c>
      <c r="HB5" s="45">
        <f>(tbl_Hotel_Multi[[#This Row],[e (no GP)]]-tbl_Hotel_Multi[[#This Row],[er (from A unrounded)]])/tbl_Hotel_Multi[[#This Row],[er (from A unrounded)]]</f>
        <v>-0.88593518703056984</v>
      </c>
      <c r="HC5" s="45">
        <f>IF(tbl_Hotel_Multi[[#This Row],[Water Star Decimal (with recyc)]]&lt;1,0,MIN(ROUNDDOWN(tbl_Hotel_Multi[[#This Row],[Water Star Decimal (with recyc)]]*2,0)/2,6))</f>
        <v>5</v>
      </c>
      <c r="HD5" s="45">
        <f>tbl_Hotel_Multi[[#This Row],[R (with recyc)]]+Hotel_C_FWD_Star_Band_Residual_Adjustment</f>
        <v>5.1494869722421424</v>
      </c>
      <c r="HE5" s="45">
        <f>IF(tbl_Hotel_Multi[[#This Row],[Water Star Decimal (no recyc)]]&lt;1,0,MIN(ROUNDDOWN(tbl_Hotel_Multi[[#This Row],[Water Star Decimal (no recyc)]]*2,0)/2,6))</f>
        <v>5</v>
      </c>
      <c r="HF5" s="45">
        <f>tbl_Hotel_Multi[[#This Row],[R (no recyc)]]+Hotel_C_FWD_Star_Band_Residual_Adjustment</f>
        <v>5.1494869722421424</v>
      </c>
      <c r="HG5" s="36">
        <f>tbl_Hotel_Multi[[#This Row],[water]]*(1-tbl_Hotel_Multi[[#This Row],[RW]])/tbl_Hotel_Multi[[#This Row],[Rooms]]</f>
        <v>63.362666666666669</v>
      </c>
      <c r="HH5" s="36">
        <f>tbl_Hotel_Multi[[#This Row],[water]]/tbl_Hotel_Multi[[#This Row],[Rooms]]</f>
        <v>63.362666666666669</v>
      </c>
      <c r="HI5" s="36">
        <f>IF(Hotel_C_W_Median_Rating*((tbl_Hotel_Multi[[#This Row],[w (with recyc)]]-tbl_Hotel_Multi[[#This Row],[wr]])/(tbl_Hotel_Multi[[#This Row],[w5,CDD=0]]-tbl_Hotel_Multi[[#This Row],[wr]]))+Hotel_C_W_Median_Rating&lt;=5,Hotel_C_W_Median_Rating*((tbl_Hotel_Multi[[#This Row],[w (with recyc)]]-tbl_Hotel_Multi[[#This Row],[wr]])/(tbl_Hotel_Multi[[#This Row],[w5,CDD=0]]-tbl_Hotel_Multi[[#This Row],[wr]]))+Hotel_C_W_Median_Rating,
6.50001-2/tbl_Hotel_Multi[[#This Row],[w5,CDD=0]]*tbl_Hotel_Multi[[#This Row],[w (with recyc)]])</f>
        <v>4.6494869722421424</v>
      </c>
      <c r="HJ5" s="36">
        <f>IF(Hotel_C_W_Median_Rating*((tbl_Hotel_Multi[[#This Row],[w (no recyc)]]-tbl_Hotel_Multi[[#This Row],[wr]])/(tbl_Hotel_Multi[[#This Row],[w5,CDD=0]]-tbl_Hotel_Multi[[#This Row],[wr]]))+Hotel_C_W_Median_Rating&lt;=5,Hotel_C_W_Median_Rating*((tbl_Hotel_Multi[[#This Row],[w (no recyc)]]-tbl_Hotel_Multi[[#This Row],[wr]])/(tbl_Hotel_Multi[[#This Row],[w5,CDD=0]]-tbl_Hotel_Multi[[#This Row],[wr]]))+Hotel_C_W_Median_Rating,
6.50001-2/tbl_Hotel_Multi[[#This Row],[w5,CDD=0]]*tbl_Hotel_Multi[[#This Row],[w (no recyc)]])</f>
        <v>4.6494869722421424</v>
      </c>
    </row>
    <row r="6" spans="1:218" ht="16.5" customHeight="1">
      <c r="A6" s="484">
        <v>1.9</v>
      </c>
      <c r="B6" s="484">
        <v>5.8</v>
      </c>
      <c r="C6" s="485">
        <v>8001</v>
      </c>
      <c r="D6" s="485">
        <v>4</v>
      </c>
      <c r="E6" s="486">
        <v>129</v>
      </c>
      <c r="F6" s="486">
        <v>129</v>
      </c>
      <c r="G6" s="486">
        <v>190</v>
      </c>
      <c r="H6" s="488">
        <v>190</v>
      </c>
      <c r="I6" s="487">
        <v>0.75</v>
      </c>
      <c r="J6" s="487">
        <v>0.25</v>
      </c>
      <c r="K6" s="487">
        <v>0</v>
      </c>
      <c r="L6" s="554">
        <f>tbl_Hotel_Multi[[#This Row],[Target Residual (p)]]</f>
        <v>0.22026431718061676</v>
      </c>
      <c r="M6" s="42">
        <f>tbl_Hotel_Multi[[#This Row],[Total Predicted Emissions (from A unrounded)]]</f>
        <v>2041495.7835498354</v>
      </c>
      <c r="N6" s="42">
        <f>tbl_Hotel_Multi[[#This Row],[Target Max CO2]]</f>
        <v>2490339.583833531</v>
      </c>
      <c r="O6" s="378">
        <f>tbl_Hotel_Multi[[#This Row],[Target Max e]]</f>
        <v>19304.958014213418</v>
      </c>
      <c r="P6" s="378">
        <f>tbl_Hotel_Multi[[#This Row],[Target Max Energy Intensity]]</f>
        <v>80114.918149032543</v>
      </c>
      <c r="Q6" s="42">
        <f>tbl_Hotel_Multi[[#This Row],[Target Scopes 1,2&amp;3]]</f>
        <v>2425746.4741800004</v>
      </c>
      <c r="R6" s="42">
        <f>tbl_Hotel_Multi[[#This Row],[Target Scopes 1&amp;2]]</f>
        <v>2200102.8501800001</v>
      </c>
      <c r="S6" s="42">
        <f>tbl_Hotel_Multi[[#This Row],[Target Max Elec (kWh)]]</f>
        <v>2153088</v>
      </c>
      <c r="T6" s="42">
        <f>tbl_Hotel_Multi[[#This Row],[Target Max Gas (MJ)]]</f>
        <v>2583706</v>
      </c>
      <c r="U6" s="42">
        <f>tbl_Hotel_Multi[[#This Row],[Target Max Diesel (L)]]</f>
        <v>0</v>
      </c>
      <c r="V6" s="42">
        <f>tbl_Hotel_Multi[[#This Row],[Predicted Total Water Consumption]]</f>
        <v>23105.77</v>
      </c>
      <c r="W6" s="42">
        <f>tbl_Hotel_Multi[[#This Row],[Target Max Water (kL)]]</f>
        <v>5332</v>
      </c>
      <c r="X6" s="378">
        <f>tbl_Hotel_Multi[[#This Row],[Target max Water (kL/room)]]</f>
        <v>41.337291772735298</v>
      </c>
      <c r="Y6" s="285">
        <v>416979</v>
      </c>
      <c r="Z6" s="285">
        <v>1351012</v>
      </c>
      <c r="AA6" s="285">
        <v>3888</v>
      </c>
      <c r="AB6" s="43">
        <v>0</v>
      </c>
      <c r="AC6" s="285">
        <v>23761</v>
      </c>
      <c r="AD6" s="43">
        <v>0</v>
      </c>
      <c r="AE6" s="45" t="str">
        <f>INDEX(tbl_Climate_Lookup[],MATCH(tbl_Hotel_Multi[[Postcode]:[Postcode]],tbl_Climate_Lookup[[Postcode]:[Postcode]],0),MATCH(tbl_Hotel_Multi[[#Headers],[State]],tbl_Climate_Lookup[#Headers],0))</f>
        <v>VIC</v>
      </c>
      <c r="AF6" s="45">
        <f>INDEX(tbl_Climate_Lookup[],MATCH(tbl_Hotel_Multi[[Postcode]:[Postcode]],tbl_Climate_Lookup[[Postcode]:[Postcode]],0),MATCH(tbl_Hotel_Multi[[#Headers],[Climate zone]],tbl_Climate_Lookup[#Headers],0))</f>
        <v>18</v>
      </c>
      <c r="AG6" s="169">
        <f>INDEX(tbl_Climate_Lookup[],MATCH(tbl_Hotel_Multi[[Postcode]:[Postcode]],tbl_Climate_Lookup[[Postcode]:[Postcode]],0),MATCH(tbl_Hotel_Multi[[#Headers],[HDD]],tbl_Climate_Lookup[#Headers],0))</f>
        <v>1590</v>
      </c>
      <c r="AH6" s="169">
        <f>INDEX(tbl_Climate_Lookup[],MATCH(tbl_Hotel_Multi[[Postcode]:[Postcode]],tbl_Climate_Lookup[[Postcode]:[Postcode]],0),MATCH(tbl_Hotel_Multi[[#Headers],[CDD]],tbl_Climate_Lookup[#Headers],0))</f>
        <v>100</v>
      </c>
      <c r="AI6" s="45">
        <f>INDEX(tbl_SGE_Hotel_2008[],MATCH(tbl_Hotel_Multi[[State]:[State]],tbl_SGE_Hotel_2008[[State]:[State]],0),MATCH(tbl_Hotel_Multi[[#Headers],[SGEe2008]],tbl_SGE_Hotel_2008[#Headers],0))</f>
        <v>1.31</v>
      </c>
      <c r="AJ6" s="45">
        <f>INDEX(tbl_SGE_Hotel_2008[],MATCH(tbl_Hotel_Multi[[State]:[State]],tbl_SGE_Hotel_2008[[State]:[State]],0),MATCH(tbl_Hotel_Multi[[#Headers],[SGEg2008]],tbl_SGE_Hotel_2008[#Headers],0))</f>
        <v>5.7299999999999997E-2</v>
      </c>
      <c r="AK6" s="45">
        <f>INDEX(tbl_SGE_Hotel_2008[],MATCH(tbl_Hotel_Multi[[State]:[State]],tbl_SGE_Hotel_2008[[State]:[State]],0),MATCH(tbl_Hotel_Multi[[#Headers],[SGEd2008]],tbl_SGE_Hotel_2008[#Headers],0))</f>
        <v>2.89</v>
      </c>
      <c r="AL6" s="45">
        <f>INDEX(tbl_SGE_2020[],MATCH(tbl_Hotel_Multi[[State]:[State]],tbl_SGE_2020[[State]:[State]],0),MATCH(tbl_Hotel_Multi[[#Headers],[SGEe]],tbl_SGE_2020[#Headers],0))</f>
        <v>1.0900000000000001</v>
      </c>
      <c r="AM6" s="45">
        <f>INDEX(tbl_SGE_2020[],MATCH(tbl_Hotel_Multi[[State]:[State]],tbl_SGE_2020[[State]:[State]],0),MATCH(tbl_Hotel_Multi[[#Headers],[SGEg]],tbl_SGE_2020[#Headers],0))</f>
        <v>5.5530000000000003E-2</v>
      </c>
      <c r="AN6" s="45">
        <f>INDEX(tbl_SGE_2020[],MATCH(tbl_Hotel_Multi[[State]:[State]],tbl_SGE_2020[[State]:[State]],0),MATCH(tbl_Hotel_Multi[[#Headers],[SGEd]],tbl_SGE_2020[#Headers],0))</f>
        <v>2.8486799999999999</v>
      </c>
      <c r="AO6" s="45">
        <f>INDEX(tbl_Conversion_Factors[[Conversion Factors]:[Conversion Factors]],MATCH(tbl_Hotel_Multi[[#Headers],[CFelec]],tbl_Conversion_Factors[[Reference]:[Reference]],0))</f>
        <v>3.6</v>
      </c>
      <c r="AP6" s="45">
        <f>INDEX(tbl_Conversion_Factors[[Conversion Factors]:[Conversion Factors]],MATCH(tbl_Hotel_Multi[[#Headers],[CFdiesel]],tbl_Conversion_Factors[[Reference]:[Reference]],0))</f>
        <v>38.6</v>
      </c>
      <c r="AQ6" s="45">
        <f>tbl_Hotel_Multi[[#This Row],[SGEe]]/tbl_Hotel_Multi[[#This Row],[CFelec]]</f>
        <v>0.30277777777777781</v>
      </c>
      <c r="AR6" s="45">
        <f>tbl_Hotel_Multi[[#This Row],[SGEd]]/tbl_Hotel_Multi[[#This Row],[CFdiesel]]</f>
        <v>7.3799999999999991E-2</v>
      </c>
      <c r="AS6" s="46">
        <f>IF(SUM(tbl_Hotel_Multi[[#This Row],[Electricity (%)]:[Diesel (%)]])=1,
SUM(tbl_Hotel_Multi[[#This Row],[Electricity (%)]]*tbl_Hotel_Multi[[#This Row],[SGEeMJ]],
tbl_Hotel_Multi[[#This Row],[Gas (%)]]*tbl_Hotel_Multi[[#This Row],[SGEg]],
tbl_Hotel_Multi[[#This Row],[Diesel (%)]]*tbl_Hotel_Multi[[#This Row],[SGEdMJ]]),
0)</f>
        <v>0.24096583333333335</v>
      </c>
      <c r="AT6" s="46">
        <f>INDEX(tbl_NGA_Factors_2021[],MATCH(tbl_Hotel_Multi[[State]:[State]],tbl_NGA_Factors_2021[[State]:[State]],0),MATCH(tbl_Hotel_Multi[[#Headers],[SGEe Scopes 1,2&amp;3]],tbl_NGA_Factors_2021[#Headers],0))</f>
        <v>1.06</v>
      </c>
      <c r="AU6" s="46">
        <f>INDEX(tbl_NGA_Factors_2021[],MATCH(tbl_Hotel_Multi[[State]:[State]],tbl_NGA_Factors_2021[[State]:[State]],0),MATCH(tbl_Hotel_Multi[[#Headers],[SGEg Scopes 1,2&amp;3]],tbl_NGA_Factors_2021[#Headers],0))</f>
        <v>5.5530000000000003E-2</v>
      </c>
      <c r="AV6" s="46">
        <f>INDEX(tbl_NGA_Factors_2021[],MATCH(tbl_Hotel_Multi[[State]:[State]],tbl_NGA_Factors_2021[[State]:[State]],0),MATCH(tbl_Hotel_Multi[[#Headers],[SGEd Scopes 1,2&amp;3]],tbl_NGA_Factors_2021[#Headers],0))</f>
        <v>2.8486799999999999</v>
      </c>
      <c r="AW6" s="46">
        <f>INDEX(tbl_NGA_Factors_2021[],MATCH(tbl_Hotel_Multi[[State]:[State]],tbl_NGA_Factors_2021[[State]:[State]],0),MATCH(tbl_Hotel_Multi[[#Headers],[SGEe Scopes 1&amp;2]],tbl_NGA_Factors_2021[#Headers],0))</f>
        <v>0.96</v>
      </c>
      <c r="AX6" s="46">
        <f>INDEX(tbl_NGA_Factors_2021[],MATCH(tbl_Hotel_Multi[[State]:[State]],tbl_NGA_Factors_2021[[State]:[State]],0),MATCH(tbl_Hotel_Multi[[#Headers],[SGEg Scopes 1&amp;2]],tbl_NGA_Factors_2021[#Headers],0))</f>
        <v>5.1529999999999999E-2</v>
      </c>
      <c r="AY6" s="46">
        <f>INDEX(tbl_NGA_Factors_2021[],MATCH(tbl_Hotel_Multi[[State]:[State]],tbl_NGA_Factors_2021[[State]:[State]],0),MATCH(tbl_Hotel_Multi[[#Headers],[SGEd Scopes 1&amp;2]],tbl_NGA_Factors_2021[#Headers],0))</f>
        <v>2.7097199999999999</v>
      </c>
      <c r="AZ6" s="169">
        <f>tbl_Hotel_Multi[[#This Row],[er]]*tbl_Hotel_Multi[[#This Row],[Rooms]]</f>
        <v>2040819.8033581644</v>
      </c>
      <c r="BA6" s="262">
        <f>ROUND(INDEX(tbl_GHG_State_Factor[Hotel],MATCH(tbl_Hotel_Multi[[#This Row],[State]],tbl_GHG_State_Factor[Premise state],0)),3)</f>
        <v>0.84299999999999997</v>
      </c>
      <c r="BB6" s="45">
        <f>SUM(tbl_Hotel_Multi[[#This Row],[9.8*HDD]],tbl_Hotel_Multi[[#This Row],[23087*nfsl/N]],tbl_Hotel_Multi[[#This Row],[10692*Aheatedpool/N]])*tbl_Hotel_Multi[[#This Row],[SGEg2008]]</f>
        <v>3118.0887697674416</v>
      </c>
      <c r="BC6" s="45">
        <f>SUM(tbl_Hotel_Multi[[#This Row],[2.551*CDD]],tbl_Hotel_Multi[[#This Row],[4723*(S-2)]],tbl_Hotel_Multi[[#This Row],[1212*nfuncseats/N]],1176)*tbl_Hotel_Multi[[#This Row],[SGEe2008]]/Hotel_C_E_GGeneral_elec</f>
        <v>15648.588043001319</v>
      </c>
      <c r="BD6" s="45">
        <f>SUM(tbl_Hotel_Multi[[#This Row],[Ggas2008]],tbl_Hotel_Multi[[#This Row],[Ggeneral2008]])*tbl_Hotel_Multi[[#This Row],[A]]</f>
        <v>15820.308553164065</v>
      </c>
      <c r="BE6" s="45">
        <f>(tbl_Hotel_Multi[[#This Row],[Ggas2008]]+tbl_Hotel_Multi[[#This Row],[Ggeneral2008]])*tbl_Hotel_Multi[[#This Row],[A unrounded]]</f>
        <v>15825.548709688646</v>
      </c>
      <c r="BF6" s="45">
        <f>tbl_Hotel_Multi[[#This Row],[er]]*tbl_Hotel_Multi[[#This Row],[Zy]]</f>
        <v>13339.879935563995</v>
      </c>
      <c r="BG6" s="45">
        <f>Hotel_C_E_HDD*tbl_Hotel_Multi[[#This Row],[HDD]]</f>
        <v>15582.000000000002</v>
      </c>
      <c r="BH6" s="45">
        <f>Hotel_C_E_Nfsl*tbl_Hotel_Multi[[#This Row],[nfsl]]/tbl_Hotel_Multi[[#This Row],[Rooms]]</f>
        <v>23087</v>
      </c>
      <c r="BI6" s="45">
        <f>Hotel_C_E_Pool*tbl_Hotel_Multi[[#This Row],[Aheatedpool]]/tbl_Hotel_Multi[[#This Row],[Rooms]]</f>
        <v>15747.906976744185</v>
      </c>
      <c r="BJ6" s="45">
        <f>Hotel_C_E_Cooling*tbl_Hotel_Multi[[#This Row],[CDD]]</f>
        <v>255.10000000000002</v>
      </c>
      <c r="BK6" s="45">
        <f>Hotel_C_E_AAA_Rating*(tbl_Hotel_Multi[[#This Row],[AAAStar]]-2)</f>
        <v>9446</v>
      </c>
      <c r="BL6" s="45">
        <f>Hotel_C_E_Function_Seats*tbl_Hotel_Multi[[#This Row],[nfuncseats]]/tbl_Hotel_Multi[[#This Row],[Rooms]]</f>
        <v>1785.1162790697674</v>
      </c>
      <c r="BM6" s="169">
        <f>tbl_Hotel_Multi[[#This Row],[er (from A unrounded)]]*tbl_Hotel_Multi[[#This Row],[Rooms]]</f>
        <v>2041495.7835498354</v>
      </c>
      <c r="BN6" s="169">
        <f>tbl_Hotel_Multi[[#This Row],[er (from Zy)]]*tbl_Hotel_Multi[[#This Row],[Rooms]]</f>
        <v>1720844.5116877554</v>
      </c>
      <c r="BO6" s="45">
        <f>INDEX(tbl_GHG_State_Factor[Hotel],MATCH(tbl_Hotel_Multi[[#This Row],[State]],tbl_GHG_State_Factor[Premise state],0))</f>
        <v>0.84327922666207022</v>
      </c>
      <c r="BP6" s="45">
        <f>(tbl_Hotel_Multi[[#This Row],[SGEg]]*tbl_Hotel_Multi[[#This Row],[FF]]+tbl_Hotel_Multi[[#This Row],[SGEe]]/tbl_Hotel_Multi[[#This Row],[CFelec]]*(1-tbl_Hotel_Multi[[#This Row],[FF]]))/(tbl_Hotel_Multi[[#This Row],[SGEg2008]]*tbl_Hotel_Multi[[#This Row],[FF]]+tbl_Hotel_Multi[[#This Row],[SGEe2008]]/tbl_Hotel_Multi[[#This Row],[CFelec]]*(1-tbl_Hotel_Multi[[#This Row],[FF]]))</f>
        <v>0.84321237419203288</v>
      </c>
      <c r="BQ6" s="45">
        <f>INDEX(tbl_FF_Lookup[FF],MATCH("Hotels",tbl_FF_Lookup[Tool],0))</f>
        <v>0.36</v>
      </c>
      <c r="BR6" s="36">
        <f>tbl_Hotel_Multi[[#This Row],[wr]]*tbl_Hotel_Multi[[#This Row],[Rooms]]</f>
        <v>23105.77</v>
      </c>
      <c r="BS6" s="36">
        <f>Hotel_C_W_Offset+tbl_Hotel_Multi[[#This Row],[61.28*nfsl/N]]+tbl_Hotel_Multi[[#This Row],[19.24*(S-2)]]+tbl_Hotel_Multi[[#This Row],[0.0338*CDD]]+tbl_Hotel_Multi[[#This Row],[13.84*nfuncseats/N]]</f>
        <v>179.11449612403101</v>
      </c>
      <c r="BT6" s="36">
        <f>Hotel_C_W_Offset+tbl_Hotel_Multi[[#This Row],[61.28*nfsl/N]]+tbl_Hotel_Multi[[#This Row],[19.24*(S-2)]]+tbl_Hotel_Multi[[#This Row],[13.84*nfuncseats/N]]</f>
        <v>175.73449612403101</v>
      </c>
      <c r="BU6" s="36">
        <f>Hotel_C_W_Nfsl*tbl_Hotel_Multi[[#This Row],[nfsl]]/tbl_Hotel_Multi[[#This Row],[Rooms]]</f>
        <v>61.28</v>
      </c>
      <c r="BV6" s="38">
        <f>Hotel_C_W_AAA_Rating*(tbl_Hotel_Multi[[#This Row],[AAAStar]]-2)</f>
        <v>38.479999999999997</v>
      </c>
      <c r="BW6" s="36">
        <f>Hotel_C_W_Cooling*tbl_Hotel_Multi[[#This Row],[CDD]]</f>
        <v>3.38</v>
      </c>
      <c r="BX6" s="36">
        <f>Hotel_C_W_Function_Seats*tbl_Hotel_Multi[[#This Row],[nfuncseats]]/tbl_Hotel_Multi[[#This Row],[Rooms]]</f>
        <v>20.384496124031006</v>
      </c>
      <c r="BY6" s="36">
        <f t="shared" si="5"/>
        <v>0.39203977410900048</v>
      </c>
      <c r="BZ6" s="36">
        <f>tbl_Hotel_Multi[[#This Row],[5 starCDD0 parameter calc]]*tbl_Hotel_Multi[[#This Row],[wr,CDD=0]]</f>
        <v>68.894912163624141</v>
      </c>
      <c r="CA6" s="48">
        <f>IF(tbl_Hotel_Multi[[#This Row],[Target Energy]]&gt;5,(tbl_Hotel_Multi[[#This Row],[Target Energy]]-Hotel_C_Reverse_Star_Band_Residual_Adjustment-Hotel_C_E_Median_R_above_5_stars)/(Hotel_C_E_Rating_Coefficient_above_5_stars),(tbl_Hotel_Multi[[#This Row],[Target Energy]]-Hotel_C_Reverse_Star_Band_Residual_Adjustment-Hotel_C_E_Median_Rating)/(Hotel_C_E_Rating_Coefficient))</f>
        <v>0.22026431718061676</v>
      </c>
      <c r="CB6" s="44">
        <f>tbl_Hotel_Multi[[#This Row],[er]]*(tbl_Hotel_Multi[[#This Row],[Target Residual (p)]]+1)</f>
        <v>19304.958014213418</v>
      </c>
      <c r="CC6" s="44">
        <f>tbl_Hotel_Multi[[#This Row],[Target Max e]]*tbl_Hotel_Multi[[#This Row],[Rooms]]</f>
        <v>2490339.583833531</v>
      </c>
      <c r="CD6" s="44">
        <f>tbl_Hotel_Multi[[#This Row],[Target Max CO2]]/tbl_Hotel_Multi[[#This Row],[EffGHG]]</f>
        <v>10334824.441225197</v>
      </c>
      <c r="CE6" s="44">
        <f>tbl_Hotel_Multi[[#This Row],[Target Max Energy (MJ)]]/tbl_Hotel_Multi[[#This Row],[Rooms]]</f>
        <v>80114.918149032543</v>
      </c>
      <c r="CF6" s="44">
        <f>ROUNDDOWN(tbl_Hotel_Multi[[#This Row],[Target Max Energy (MJ)]]*tbl_Hotel_Multi[[#This Row],[Electricity (%)]]/tbl_Hotel_Multi[[#This Row],[CFelec]],0)</f>
        <v>2153088</v>
      </c>
      <c r="CG6" s="44">
        <f>ROUNDDOWN(tbl_Hotel_Multi[[#This Row],[Target Max Energy (MJ)]]*tbl_Hotel_Multi[[#This Row],[Gas (%)]],0)</f>
        <v>2583706</v>
      </c>
      <c r="CH6" s="44">
        <f>ROUNDDOWN(tbl_Hotel_Multi[[#This Row],[Target Max Energy (MJ)]]*tbl_Hotel_Multi[[#This Row],[Diesel (%)]]/tbl_Hotel_Multi[[#This Row],[CFdiesel]],0)</f>
        <v>0</v>
      </c>
      <c r="CI6" s="44">
        <f>SUM(tbl_Hotel_Multi[[#This Row],[Target Max Elec (kWh)]]*tbl_Hotel_Multi[[#This Row],[SGEe Scopes 1,2&amp;3]],
tbl_Hotel_Multi[[#This Row],[Target Max Gas (MJ)]]*tbl_Hotel_Multi[[#This Row],[SGEg Scopes 1,2&amp;3]],
tbl_Hotel_Multi[[#This Row],[Target Max Diesel (L)]]*tbl_Hotel_Multi[[#This Row],[SGEd Scopes 1,2&amp;3]])</f>
        <v>2425746.4741800004</v>
      </c>
      <c r="CJ6" s="44">
        <f>SUM(tbl_Hotel_Multi[[#This Row],[Target Max Elec (kWh)]]*tbl_Hotel_Multi[[#This Row],[SGEe Scopes 1&amp;2]],
tbl_Hotel_Multi[[#This Row],[Target Max Gas (MJ)]]*tbl_Hotel_Multi[[#This Row],[SGEg Scopes 1&amp;2]],
tbl_Hotel_Multi[[#This Row],[Target Max Diesel (L)]]*tbl_Hotel_Multi[[#This Row],[SGEd Scopes 1&amp;2]])</f>
        <v>2200102.8501800001</v>
      </c>
      <c r="CK6" s="44">
        <f>ROUNDDOWN(tbl_Hotel_Multi[[#This Row],[Target max Water (kL/room)]]*tbl_Hotel_Multi[[#This Row],[Rooms]],0)</f>
        <v>5332</v>
      </c>
      <c r="CL6" s="47">
        <f>IF(tbl_Hotel_Multi[[#This Row],[Target Water]]&lt;=5,((tbl_Hotel_Multi[[#This Row],[Target Water]]-Hotel_C_Reverse_Star_Band_Residual_Adjustment-Hotel_C_W_Median_Rating)*(tbl_Hotel_Multi[[#This Row],[w5,CDD=0]]-tbl_Hotel_Multi[[#This Row],[wr]])/Hotel_C_W_Median_Rating+tbl_Hotel_Multi[[#This Row],[wr]]),
(6.50001+Hotel_C_Reverse_Star_Band_Residual_Adjustment-tbl_Hotel_Multi[[#This Row],[Target Water]])*tbl_Hotel_Multi[[#This Row],[w5,CDD=0]]/2)</f>
        <v>41.337291772735298</v>
      </c>
      <c r="CM6" s="36">
        <f>IF(LEFT(tbl_Hotel_Multi[[#Headers],[6.0* Max Residual]],3)*1&gt;5,(LEFT(tbl_Hotel_Multi[[#Headers],[6.0* Max Residual]],3)-Hotel_C_Reverse_Star_Band_Residual_Adjustment-Hotel_C_E_Median_R_above_5_stars)/(Hotel_C_E_Rating_Coefficient_above_5_stars),
(LEFT(tbl_Hotel_Multi[[#Headers],[6.0* Max Residual]],3)-Hotel_C_Reverse_Star_Band_Residual_Adjustment-Hotel_C_E_Median_Rating)/(Hotel_C_E_Rating_Coefficient))</f>
        <v>-0.79152551308679864</v>
      </c>
      <c r="CN6" s="36">
        <f>IF(LEFT(tbl_Hotel_Multi[[#Headers],[5.5* Max Residual]],3)*1&gt;5,(LEFT(tbl_Hotel_Multi[[#Headers],[5.5* Max Residual]],3)-Hotel_C_Reverse_Star_Band_Residual_Adjustment-Hotel_C_E_Median_R_above_5_stars)/(Hotel_C_E_Rating_Coefficient_above_5_stars),
(LEFT(tbl_Hotel_Multi[[#Headers],[5.5* Max Residual]],3)-Hotel_C_Reverse_Star_Band_Residual_Adjustment-Hotel_C_E_Median_Rating)/(Hotel_C_E_Rating_Coefficient))</f>
        <v>-0.68728931199220888</v>
      </c>
      <c r="CO6" s="36">
        <f>IF(LEFT(tbl_Hotel_Multi[[#Headers],[5.0* Max Residual]],3)*1&gt;5,(LEFT(tbl_Hotel_Multi[[#Headers],[5.0* Max Residual]],3)-Hotel_C_Reverse_Star_Band_Residual_Adjustment-Hotel_C_E_Median_R_above_5_stars)/(Hotel_C_E_Rating_Coefficient_above_5_stars),
(LEFT(tbl_Hotel_Multi[[#Headers],[5.0* Max Residual]],3)-Hotel_C_Reverse_Star_Band_Residual_Adjustment-Hotel_C_E_Median_Rating)/(Hotel_C_E_Rating_Coefficient))</f>
        <v>-0.58305260430163253</v>
      </c>
      <c r="CP6" s="36">
        <f>IF(LEFT(tbl_Hotel_Multi[[#Headers],[4.5* Max Residual]],3)*1&gt;5,(LEFT(tbl_Hotel_Multi[[#Headers],[4.5* Max Residual]],3)-Hotel_C_Reverse_Star_Band_Residual_Adjustment-Hotel_C_E_Median_R_above_5_stars)/(Hotel_C_E_Rating_Coefficient_above_5_stars),
(LEFT(tbl_Hotel_Multi[[#Headers],[4.5* Max Residual]],3)-Hotel_C_Reverse_Star_Band_Residual_Adjustment-Hotel_C_E_Median_Rating)/(Hotel_C_E_Rating_Coefficient))</f>
        <v>-0.45348535890126979</v>
      </c>
      <c r="CQ6" s="36">
        <f>IF(LEFT(tbl_Hotel_Multi[[#Headers],[4.0* Max Residual]],3)*1&gt;5,(LEFT(tbl_Hotel_Multi[[#Headers],[4.0* Max Residual]],3)-Hotel_C_Reverse_Star_Band_Residual_Adjustment-Hotel_C_E_Median_R_above_5_stars)/(Hotel_C_E_Rating_Coefficient_above_5_stars),
(LEFT(tbl_Hotel_Multi[[#Headers],[4.0* Max Residual]],3)-Hotel_C_Reverse_Star_Band_Residual_Adjustment-Hotel_C_E_Median_Rating)/(Hotel_C_E_Rating_Coefficient))</f>
        <v>-0.32391811350090699</v>
      </c>
      <c r="CR6" s="36">
        <f>IF(LEFT(tbl_Hotel_Multi[[#Headers],[3.5* Max Residual]],3)*1&gt;5,(LEFT(tbl_Hotel_Multi[[#Headers],[3.5* Max Residual]],3)-Hotel_C_Reverse_Star_Band_Residual_Adjustment-Hotel_C_E_Median_R_above_5_stars)/(Hotel_C_E_Rating_Coefficient_above_5_stars),
(LEFT(tbl_Hotel_Multi[[#Headers],[3.5* Max Residual]],3)-Hotel_C_Reverse_Star_Band_Residual_Adjustment-Hotel_C_E_Median_Rating)/(Hotel_C_E_Rating_Coefficient))</f>
        <v>-0.19435086810054419</v>
      </c>
      <c r="CS6" s="36">
        <f>IF(LEFT(tbl_Hotel_Multi[[#Headers],[3.0* Max Residual]],3)*1&gt;5,(LEFT(tbl_Hotel_Multi[[#Headers],[3.0* Max Residual]],3)-Hotel_C_Reverse_Star_Band_Residual_Adjustment-Hotel_C_E_Median_R_above_5_stars)/(Hotel_C_E_Rating_Coefficient_above_5_stars),
(LEFT(tbl_Hotel_Multi[[#Headers],[3.0* Max Residual]],3)-Hotel_C_Reverse_Star_Band_Residual_Adjustment-Hotel_C_E_Median_Rating)/(Hotel_C_E_Rating_Coefficient))</f>
        <v>-6.4783622700181398E-2</v>
      </c>
      <c r="CT6" s="36">
        <f>IF(LEFT(tbl_Hotel_Multi[[#Headers],[2.5* Max Residual]],3)*1&gt;5,(LEFT(tbl_Hotel_Multi[[#Headers],[2.5* Max Residual]],3)-Hotel_C_Reverse_Star_Band_Residual_Adjustment-Hotel_C_E_Median_R_above_5_stars)/(Hotel_C_E_Rating_Coefficient_above_5_stars),
(LEFT(tbl_Hotel_Multi[[#Headers],[2.5* Max Residual]],3)-Hotel_C_Reverse_Star_Band_Residual_Adjustment-Hotel_C_E_Median_Rating)/(Hotel_C_E_Rating_Coefficient))</f>
        <v>6.4783622700181398E-2</v>
      </c>
      <c r="CU6" s="36">
        <f>IF(LEFT(tbl_Hotel_Multi[[#Headers],[2.0* Max Residual]],3)*1&gt;5,(LEFT(tbl_Hotel_Multi[[#Headers],[2.0* Max Residual]],3)-Hotel_C_Reverse_Star_Band_Residual_Adjustment-Hotel_C_E_Median_R_above_5_stars)/(Hotel_C_E_Rating_Coefficient_above_5_stars),
(LEFT(tbl_Hotel_Multi[[#Headers],[2.0* Max Residual]],3)-Hotel_C_Reverse_Star_Band_Residual_Adjustment-Hotel_C_E_Median_Rating)/(Hotel_C_E_Rating_Coefficient))</f>
        <v>0.19435086810054419</v>
      </c>
      <c r="CV6" s="36">
        <f>IF(LEFT(tbl_Hotel_Multi[[#Headers],[1.5* Max Residual]],3)*1&gt;5,(LEFT(tbl_Hotel_Multi[[#Headers],[1.5* Max Residual]],3)-Hotel_C_Reverse_Star_Band_Residual_Adjustment-Hotel_C_E_Median_R_above_5_stars)/(Hotel_C_E_Rating_Coefficient_above_5_stars),
(LEFT(tbl_Hotel_Multi[[#Headers],[1.5* Max Residual]],3)-Hotel_C_Reverse_Star_Band_Residual_Adjustment-Hotel_C_E_Median_Rating)/(Hotel_C_E_Rating_Coefficient))</f>
        <v>0.32391811350090699</v>
      </c>
      <c r="CW6" s="36">
        <f>IF(LEFT(tbl_Hotel_Multi[[#Headers],[1.0* Max Residual]],3)*1&gt;5,(LEFT(tbl_Hotel_Multi[[#Headers],[1.0* Max Residual]],3)-Hotel_C_Reverse_Star_Band_Residual_Adjustment-Hotel_C_E_Median_R_above_5_stars)/(Hotel_C_E_Rating_Coefficient_above_5_stars),
(LEFT(tbl_Hotel_Multi[[#Headers],[1.0* Max Residual]],3)-Hotel_C_Reverse_Star_Band_Residual_Adjustment-Hotel_C_E_Median_Rating)/(Hotel_C_E_Rating_Coefficient))</f>
        <v>0.45348535890126979</v>
      </c>
      <c r="CX6" s="36">
        <f>IF(LEFT(tbl_Hotel_Multi[[#Headers],[0.0* Max Residual]],3)*1&gt;5,(LEFT(tbl_Hotel_Multi[[#Headers],[0.0* Max Residual]],3)-Hotel_C_Reverse_Star_Band_Residual_Adjustment-Hotel_C_E_Median_R_above_5_stars)/(Hotel_C_E_Rating_Coefficient_above_5_stars),
(LEFT(tbl_Hotel_Multi[[#Headers],[0.0* Max Residual]],3)-Hotel_C_Reverse_Star_Band_Residual_Adjustment-Hotel_C_E_Median_Rating)/(Hotel_C_E_Rating_Coefficient))</f>
        <v>0.71261984970199532</v>
      </c>
      <c r="CY6" s="36">
        <f>tbl_Hotel_Multi[[er]:[er]]*(tbl_Hotel_Multi[[#This Row],[6.0* Max Residual]]+1)</f>
        <v>3298.1307084294094</v>
      </c>
      <c r="CZ6" s="36">
        <f>tbl_Hotel_Multi[[er]:[er]]*(tbl_Hotel_Multi[[#This Row],[5.5* Max Residual]]+1)</f>
        <v>4947.1795721554772</v>
      </c>
      <c r="DA6" s="36">
        <f>tbl_Hotel_Multi[[er]:[er]]*(tbl_Hotel_Multi[[#This Row],[5.0* Max Residual]]+1)</f>
        <v>6596.2364503863646</v>
      </c>
      <c r="DB6" s="36">
        <f>tbl_Hotel_Multi[[er]:[er]]*(tbl_Hotel_Multi[[#This Row],[4.5* Max Residual]]+1)</f>
        <v>8646.0302510036308</v>
      </c>
      <c r="DC6" s="36">
        <f>tbl_Hotel_Multi[[er]:[er]]*(tbl_Hotel_Multi[[#This Row],[4.0* Max Residual]]+1)</f>
        <v>10695.824051620897</v>
      </c>
      <c r="DD6" s="36">
        <f>tbl_Hotel_Multi[[er]:[er]]*(tbl_Hotel_Multi[[#This Row],[3.5* Max Residual]]+1)</f>
        <v>12745.617852238165</v>
      </c>
      <c r="DE6" s="36">
        <f>tbl_Hotel_Multi[[er]:[er]]*(tbl_Hotel_Multi[[#This Row],[3.0* Max Residual]]+1)</f>
        <v>14795.41165285543</v>
      </c>
      <c r="DF6" s="36">
        <f>tbl_Hotel_Multi[[er]:[er]]*(tbl_Hotel_Multi[[#This Row],[2.5* Max Residual]]+1)</f>
        <v>16845.205453472699</v>
      </c>
      <c r="DG6" s="36">
        <f>tbl_Hotel_Multi[[er]:[er]]*(tbl_Hotel_Multi[[#This Row],[2.0* Max Residual]]+1)</f>
        <v>18894.999254089966</v>
      </c>
      <c r="DH6" s="36">
        <f>tbl_Hotel_Multi[[er]:[er]]*(tbl_Hotel_Multi[[#This Row],[1.5* Max Residual]]+1)</f>
        <v>20944.793054707232</v>
      </c>
      <c r="DI6" s="36">
        <f>tbl_Hotel_Multi[[er]:[er]]*(tbl_Hotel_Multi[[#This Row],[1.0* Max Residual]]+1)</f>
        <v>22994.586855324498</v>
      </c>
      <c r="DJ6" s="36">
        <f>tbl_Hotel_Multi[[er]:[er]]*(tbl_Hotel_Multi[[#This Row],[0.0* Max Residual]]+1)</f>
        <v>27094.174456559031</v>
      </c>
      <c r="DK6" s="44">
        <f>tbl_Hotel_Multi[[#This Row],[6.0* Max e]]*tbl_Hotel_Multi[[Rooms]:[Rooms]]</f>
        <v>425458.86138739379</v>
      </c>
      <c r="DL6" s="44">
        <f>tbl_Hotel_Multi[[#This Row],[5.5* Max e]]*tbl_Hotel_Multi[[Rooms]:[Rooms]]</f>
        <v>638186.16480805655</v>
      </c>
      <c r="DM6" s="44">
        <f>tbl_Hotel_Multi[[#This Row],[5.0* Max e]]*tbl_Hotel_Multi[[Rooms]:[Rooms]]</f>
        <v>850914.50209984102</v>
      </c>
      <c r="DN6" s="44">
        <f>tbl_Hotel_Multi[[#This Row],[4.5* Max e]]*tbl_Hotel_Multi[[Rooms]:[Rooms]]</f>
        <v>1115337.9023794683</v>
      </c>
      <c r="DO6" s="44">
        <f>tbl_Hotel_Multi[[#This Row],[4.0* Max e]]*tbl_Hotel_Multi[[Rooms]:[Rooms]]</f>
        <v>1379761.3026590957</v>
      </c>
      <c r="DP6" s="44">
        <f>tbl_Hotel_Multi[[#This Row],[3.5* Max e]]*tbl_Hotel_Multi[[Rooms]:[Rooms]]</f>
        <v>1644184.7029387234</v>
      </c>
      <c r="DQ6" s="44">
        <f>tbl_Hotel_Multi[[#This Row],[3.0* Max e]]*tbl_Hotel_Multi[[Rooms]:[Rooms]]</f>
        <v>1908608.1032183503</v>
      </c>
      <c r="DR6" s="44">
        <f>tbl_Hotel_Multi[[#This Row],[2.5* Max e]]*tbl_Hotel_Multi[[Rooms]:[Rooms]]</f>
        <v>2173031.5034979782</v>
      </c>
      <c r="DS6" s="44">
        <f>tbl_Hotel_Multi[[#This Row],[2.0* Max e]]*tbl_Hotel_Multi[[Rooms]:[Rooms]]</f>
        <v>2437454.9037776054</v>
      </c>
      <c r="DT6" s="44">
        <f>tbl_Hotel_Multi[[#This Row],[1.5* Max e]]*tbl_Hotel_Multi[[Rooms]:[Rooms]]</f>
        <v>2701878.304057233</v>
      </c>
      <c r="DU6" s="44">
        <f>tbl_Hotel_Multi[[#This Row],[1.0* Max e]]*tbl_Hotel_Multi[[Rooms]:[Rooms]]</f>
        <v>2966301.7043368602</v>
      </c>
      <c r="DV6" s="44">
        <f>tbl_Hotel_Multi[[#This Row],[0.0* Max e]]*tbl_Hotel_Multi[[Rooms]:[Rooms]]</f>
        <v>3495148.504896115</v>
      </c>
      <c r="DW6" s="44">
        <f>tbl_Hotel_Multi[[#This Row],[6.0* Max CO2]]/tbl_Hotel_Multi[[EffGHG]:[EffGHG]]</f>
        <v>1765639.7817978086</v>
      </c>
      <c r="DX6" s="44">
        <f>tbl_Hotel_Multi[[#This Row],[5.5* Max CO2]]/tbl_Hotel_Multi[[EffGHG]:[EffGHG]]</f>
        <v>2648450.8445860851</v>
      </c>
      <c r="DY6" s="44">
        <f>tbl_Hotel_Multi[[#This Row],[5.0* Max CO2]]/tbl_Hotel_Multi[[EffGHG]:[EffGHG]]</f>
        <v>3531266.197904299</v>
      </c>
      <c r="DZ6" s="44">
        <f>tbl_Hotel_Multi[[#This Row],[4.5* Max CO2]]/tbl_Hotel_Multi[[EffGHG]:[EffGHG]]</f>
        <v>4628614.3016657336</v>
      </c>
      <c r="EA6" s="44">
        <f>tbl_Hotel_Multi[[#This Row],[4.0* Max CO2]]/tbl_Hotel_Multi[[EffGHG]:[EffGHG]]</f>
        <v>5725962.4054271691</v>
      </c>
      <c r="EB6" s="44">
        <f>tbl_Hotel_Multi[[#This Row],[3.5* Max CO2]]/tbl_Hotel_Multi[[EffGHG]:[EffGHG]]</f>
        <v>6823310.5091886055</v>
      </c>
      <c r="EC6" s="44">
        <f>tbl_Hotel_Multi[[#This Row],[3.0* Max CO2]]/tbl_Hotel_Multi[[EffGHG]:[EffGHG]]</f>
        <v>7920658.6129500391</v>
      </c>
      <c r="ED6" s="44">
        <f>tbl_Hotel_Multi[[#This Row],[2.5* Max CO2]]/tbl_Hotel_Multi[[EffGHG]:[EffGHG]]</f>
        <v>9018006.7167114764</v>
      </c>
      <c r="EE6" s="44">
        <f>tbl_Hotel_Multi[[#This Row],[2.0* Max CO2]]/tbl_Hotel_Multi[[EffGHG]:[EffGHG]]</f>
        <v>10115354.820472911</v>
      </c>
      <c r="EF6" s="44">
        <f>tbl_Hotel_Multi[[#This Row],[1.5* Max CO2]]/tbl_Hotel_Multi[[EffGHG]:[EffGHG]]</f>
        <v>11212702.924234347</v>
      </c>
      <c r="EG6" s="44">
        <f>tbl_Hotel_Multi[[#This Row],[1.0* Max CO2]]/tbl_Hotel_Multi[[EffGHG]:[EffGHG]]</f>
        <v>12310051.02799578</v>
      </c>
      <c r="EH6" s="44">
        <f>tbl_Hotel_Multi[[#This Row],[0.0* Max CO2]]/tbl_Hotel_Multi[[EffGHG]:[EffGHG]]</f>
        <v>14504747.235518651</v>
      </c>
      <c r="EI6" s="44">
        <f>ROUNDDOWN(tbl_Hotel_Multi[[#This Row],[6.0* Max Energy (MJ)]]*tbl_Hotel_Multi[[Electricity (%)]:[Electricity (%)]]/tbl_Hotel_Multi[[CFelec]:[CFelec]],0)</f>
        <v>367841</v>
      </c>
      <c r="EJ6" s="44">
        <f>ROUNDDOWN(tbl_Hotel_Multi[[#This Row],[5.5* Max Energy (MJ)]]*tbl_Hotel_Multi[[Electricity (%)]:[Electricity (%)]]/tbl_Hotel_Multi[[CFelec]:[CFelec]],0)</f>
        <v>551760</v>
      </c>
      <c r="EK6" s="44">
        <f>ROUNDDOWN(tbl_Hotel_Multi[[#This Row],[5.0* Max Energy (MJ)]]*tbl_Hotel_Multi[[Electricity (%)]:[Electricity (%)]]/tbl_Hotel_Multi[[CFelec]:[CFelec]],0)</f>
        <v>735680</v>
      </c>
      <c r="EL6" s="44">
        <f>ROUNDDOWN(tbl_Hotel_Multi[[#This Row],[4.5* Max Energy (MJ)]]*tbl_Hotel_Multi[[Electricity (%)]:[Electricity (%)]]/tbl_Hotel_Multi[[CFelec]:[CFelec]],0)</f>
        <v>964294</v>
      </c>
      <c r="EM6" s="44">
        <f>ROUNDDOWN(tbl_Hotel_Multi[[#This Row],[4.0* Max Energy (MJ)]]*tbl_Hotel_Multi[[Electricity (%)]:[Electricity (%)]]/tbl_Hotel_Multi[[CFelec]:[CFelec]],0)</f>
        <v>1192908</v>
      </c>
      <c r="EN6" s="44">
        <f>ROUNDDOWN(tbl_Hotel_Multi[[#This Row],[3.5* Max Energy (MJ)]]*tbl_Hotel_Multi[[Electricity (%)]:[Electricity (%)]]/tbl_Hotel_Multi[[CFelec]:[CFelec]],0)</f>
        <v>1421523</v>
      </c>
      <c r="EO6" s="44">
        <f>ROUNDDOWN(tbl_Hotel_Multi[[#This Row],[3.0* Max Energy (MJ)]]*tbl_Hotel_Multi[[Electricity (%)]:[Electricity (%)]]/tbl_Hotel_Multi[[CFelec]:[CFelec]],0)</f>
        <v>1650137</v>
      </c>
      <c r="EP6" s="44">
        <f>ROUNDDOWN(tbl_Hotel_Multi[[#This Row],[2.5* Max Energy (MJ)]]*tbl_Hotel_Multi[[Electricity (%)]:[Electricity (%)]]/tbl_Hotel_Multi[[CFelec]:[CFelec]],0)</f>
        <v>1878751</v>
      </c>
      <c r="EQ6" s="44">
        <f>ROUNDDOWN(tbl_Hotel_Multi[[#This Row],[2.0* Max Energy (MJ)]]*tbl_Hotel_Multi[[Electricity (%)]:[Electricity (%)]]/tbl_Hotel_Multi[[CFelec]:[CFelec]],0)</f>
        <v>2107365</v>
      </c>
      <c r="ER6" s="44">
        <f>ROUNDDOWN(tbl_Hotel_Multi[[#This Row],[1.5* Max Energy (MJ)]]*tbl_Hotel_Multi[[Electricity (%)]:[Electricity (%)]]/tbl_Hotel_Multi[[CFelec]:[CFelec]],0)</f>
        <v>2335979</v>
      </c>
      <c r="ES6" s="44">
        <f>ROUNDDOWN(tbl_Hotel_Multi[[#This Row],[1.0* Max Energy (MJ)]]*tbl_Hotel_Multi[[Electricity (%)]:[Electricity (%)]]/tbl_Hotel_Multi[[CFelec]:[CFelec]],0)</f>
        <v>2564593</v>
      </c>
      <c r="ET6" s="44">
        <f>ROUNDDOWN(tbl_Hotel_Multi[[#This Row],[0.0* Max Energy (MJ)]]*tbl_Hotel_Multi[[Electricity (%)]:[Electricity (%)]]/tbl_Hotel_Multi[[CFelec]:[CFelec]],0)</f>
        <v>3021822</v>
      </c>
      <c r="EU6" s="44">
        <f>ROUNDDOWN(tbl_Hotel_Multi[[#This Row],[6.0* Max Energy (MJ)]]*tbl_Hotel_Multi[[Gas (%)]:[Gas (%)]],0)</f>
        <v>441409</v>
      </c>
      <c r="EV6" s="44">
        <f>ROUNDDOWN(tbl_Hotel_Multi[[#This Row],[5.5* Max Energy (MJ)]]*tbl_Hotel_Multi[[Gas (%)]:[Gas (%)]],0)</f>
        <v>662112</v>
      </c>
      <c r="EW6" s="44">
        <f>ROUNDDOWN(tbl_Hotel_Multi[[#This Row],[5.0* Max Energy (MJ)]]*tbl_Hotel_Multi[[Gas (%)]:[Gas (%)]],0)</f>
        <v>882816</v>
      </c>
      <c r="EX6" s="44">
        <f>ROUNDDOWN(tbl_Hotel_Multi[[#This Row],[4.5* Max Energy (MJ)]]*tbl_Hotel_Multi[[Gas (%)]:[Gas (%)]],0)</f>
        <v>1157153</v>
      </c>
      <c r="EY6" s="44">
        <f>ROUNDDOWN(tbl_Hotel_Multi[[#This Row],[4.0* Max Energy (MJ)]]*tbl_Hotel_Multi[[Gas (%)]:[Gas (%)]],0)</f>
        <v>1431490</v>
      </c>
      <c r="EZ6" s="44">
        <f>ROUNDDOWN(tbl_Hotel_Multi[[#This Row],[3.5* Max Energy (MJ)]]*tbl_Hotel_Multi[[Gas (%)]:[Gas (%)]],0)</f>
        <v>1705827</v>
      </c>
      <c r="FA6" s="44">
        <f>ROUNDDOWN(tbl_Hotel_Multi[[#This Row],[3.0* Max Energy (MJ)]]*tbl_Hotel_Multi[[Gas (%)]:[Gas (%)]],0)</f>
        <v>1980164</v>
      </c>
      <c r="FB6" s="44">
        <f>ROUNDDOWN(tbl_Hotel_Multi[[#This Row],[2.5* Max Energy (MJ)]]*tbl_Hotel_Multi[[Gas (%)]:[Gas (%)]],0)</f>
        <v>2254501</v>
      </c>
      <c r="FC6" s="44">
        <f>ROUNDDOWN(tbl_Hotel_Multi[[#This Row],[2.0* Max Energy (MJ)]]*tbl_Hotel_Multi[[Gas (%)]:[Gas (%)]],0)</f>
        <v>2528838</v>
      </c>
      <c r="FD6" s="44">
        <f>ROUNDDOWN(tbl_Hotel_Multi[[#This Row],[1.5* Max Energy (MJ)]]*tbl_Hotel_Multi[[Gas (%)]:[Gas (%)]],0)</f>
        <v>2803175</v>
      </c>
      <c r="FE6" s="44">
        <f>ROUNDDOWN(tbl_Hotel_Multi[[#This Row],[1.0* Max Energy (MJ)]]*tbl_Hotel_Multi[[Gas (%)]:[Gas (%)]],0)</f>
        <v>3077512</v>
      </c>
      <c r="FF6" s="44">
        <f>ROUNDDOWN(tbl_Hotel_Multi[[#This Row],[0.0* Max Energy (MJ)]]*tbl_Hotel_Multi[[Gas (%)]:[Gas (%)]],0)</f>
        <v>3626186</v>
      </c>
      <c r="FG6" s="44">
        <f>ROUNDDOWN(tbl_Hotel_Multi[[#This Row],[6.0* Max Energy (MJ)]]*tbl_Hotel_Multi[[Diesel (%)]:[Diesel (%)]]/tbl_Hotel_Multi[[CFdiesel]:[CFdiesel]],0)</f>
        <v>0</v>
      </c>
      <c r="FH6" s="44">
        <f>ROUNDDOWN(tbl_Hotel_Multi[[#This Row],[5.5* Max Energy (MJ)]]*tbl_Hotel_Multi[[Diesel (%)]:[Diesel (%)]]/tbl_Hotel_Multi[[CFdiesel]:[CFdiesel]],0)</f>
        <v>0</v>
      </c>
      <c r="FI6" s="44">
        <f>ROUNDDOWN(tbl_Hotel_Multi[[#This Row],[5.0* Max Energy (MJ)]]*tbl_Hotel_Multi[[Diesel (%)]:[Diesel (%)]]/tbl_Hotel_Multi[[CFdiesel]:[CFdiesel]],0)</f>
        <v>0</v>
      </c>
      <c r="FJ6" s="44">
        <f>ROUNDDOWN(tbl_Hotel_Multi[[#This Row],[4.5* Max Energy (MJ)]]*tbl_Hotel_Multi[[Diesel (%)]:[Diesel (%)]]/tbl_Hotel_Multi[[CFdiesel]:[CFdiesel]],0)</f>
        <v>0</v>
      </c>
      <c r="FK6" s="44">
        <f>ROUNDDOWN(tbl_Hotel_Multi[[#This Row],[4.0* Max Energy (MJ)]]*tbl_Hotel_Multi[[Diesel (%)]:[Diesel (%)]]/tbl_Hotel_Multi[[CFdiesel]:[CFdiesel]],0)</f>
        <v>0</v>
      </c>
      <c r="FL6" s="44">
        <f>ROUNDDOWN(tbl_Hotel_Multi[[#This Row],[3.5* Max Energy (MJ)]]*tbl_Hotel_Multi[[Diesel (%)]:[Diesel (%)]]/tbl_Hotel_Multi[[CFdiesel]:[CFdiesel]],0)</f>
        <v>0</v>
      </c>
      <c r="FM6" s="44">
        <f>ROUNDDOWN(tbl_Hotel_Multi[[#This Row],[3.0* Max Energy (MJ)]]*tbl_Hotel_Multi[[Diesel (%)]:[Diesel (%)]]/tbl_Hotel_Multi[[CFdiesel]:[CFdiesel]],0)</f>
        <v>0</v>
      </c>
      <c r="FN6" s="44">
        <f>ROUNDDOWN(tbl_Hotel_Multi[[#This Row],[2.5* Max Energy (MJ)]]*tbl_Hotel_Multi[[Diesel (%)]:[Diesel (%)]]/tbl_Hotel_Multi[[CFdiesel]:[CFdiesel]],0)</f>
        <v>0</v>
      </c>
      <c r="FO6" s="44">
        <f>ROUNDDOWN(tbl_Hotel_Multi[[#This Row],[2.0* Max Energy (MJ)]]*tbl_Hotel_Multi[[Diesel (%)]:[Diesel (%)]]/tbl_Hotel_Multi[[CFdiesel]:[CFdiesel]],0)</f>
        <v>0</v>
      </c>
      <c r="FP6" s="44">
        <f>ROUNDDOWN(tbl_Hotel_Multi[[#This Row],[1.5* Max Energy (MJ)]]*tbl_Hotel_Multi[[Diesel (%)]:[Diesel (%)]]/tbl_Hotel_Multi[[CFdiesel]:[CFdiesel]],0)</f>
        <v>0</v>
      </c>
      <c r="FQ6" s="44">
        <f>ROUNDDOWN(tbl_Hotel_Multi[[#This Row],[1.0* Max Energy (MJ)]]*tbl_Hotel_Multi[[Diesel (%)]:[Diesel (%)]]/tbl_Hotel_Multi[[CFdiesel]:[CFdiesel]],0)</f>
        <v>0</v>
      </c>
      <c r="FR6" s="44">
        <f>ROUNDDOWN(tbl_Hotel_Multi[[#This Row],[0.0* Max Energy (MJ)]]*tbl_Hotel_Multi[[Diesel (%)]:[Diesel (%)]]/tbl_Hotel_Multi[[CFdiesel]:[CFdiesel]],0)</f>
        <v>0</v>
      </c>
      <c r="FS6" s="47">
        <f>IF(LEFT(tbl_Hotel_Multi[[#Headers],[6.0* Max Water (kL/room)]],3)*1&lt;=5,((LEFT(tbl_Hotel_Multi[[#Headers],[6.0* Max Water (kL/room)]],3)-Hotel_C_Reverse_Star_Band_Residual_Adjustment-Hotel_C_W_Median_Rating)*(tbl_Hotel_Multi[[w5,CDD=0]:[w5,CDD=0]]-tbl_Hotel_Multi[[wr]:[wr]])/Hotel_C_W_Median_Rating+tbl_Hotel_Multi[[wr]:[wr]]),
(6.50001+Hotel_C_Reverse_Star_Band_Residual_Adjustment-LEFT(tbl_Hotel_Multi[[#Headers],[6.0* Max Water (kL/room)]],3))*tbl_Hotel_Multi[[w5,CDD=0]:[w5,CDD=0]]/2)</f>
        <v>34.447800556372876</v>
      </c>
      <c r="FT6" s="47">
        <f>IF(LEFT(tbl_Hotel_Multi[[#Headers],[5.5* Max Water (kL/room)]],3)*1&lt;=5,((LEFT(tbl_Hotel_Multi[[#Headers],[5.5* Max Water (kL/room)]],3)-Hotel_C_Reverse_Star_Band_Residual_Adjustment-Hotel_C_W_Median_Rating)*(tbl_Hotel_Multi[[w5,CDD=0]:[w5,CDD=0]]-tbl_Hotel_Multi[[wr]:[wr]])/Hotel_C_W_Median_Rating+tbl_Hotel_Multi[[wr]:[wr]]),
(6.50001+Hotel_C_Reverse_Star_Band_Residual_Adjustment-LEFT(tbl_Hotel_Multi[[#Headers],[5.5* Max Water (kL/room)]],3))*tbl_Hotel_Multi[[w5,CDD=0]:[w5,CDD=0]]/2)</f>
        <v>51.671528597278915</v>
      </c>
      <c r="FU6" s="47">
        <f>IF(LEFT(tbl_Hotel_Multi[[#Headers],[5.0* Max Water (kL/room)]],3)*1&lt;=5,((LEFT(tbl_Hotel_Multi[[#Headers],[5.0* Max Water (kL/room)]],3)-Hotel_C_Reverse_Star_Band_Residual_Adjustment-Hotel_C_W_Median_Rating)*(tbl_Hotel_Multi[[w5,CDD=0]:[w5,CDD=0]]-tbl_Hotel_Multi[[wr]:[wr]])/Hotel_C_W_Median_Rating+tbl_Hotel_Multi[[wr]:[wr]]),
(6.50001+Hotel_C_Reverse_Star_Band_Residual_Adjustment-LEFT(tbl_Hotel_Multi[[#Headers],[5.0* Max Water (kL/room)]],3))*tbl_Hotel_Multi[[w5,CDD=0]:[w5,CDD=0]]/2)</f>
        <v>68.894912163624141</v>
      </c>
      <c r="FV6" s="47">
        <f>IF(LEFT(tbl_Hotel_Multi[[#Headers],[4.5* Max Water (kL/room)]],3)*1&lt;=5,((LEFT(tbl_Hotel_Multi[[#Headers],[4.5* Max Water (kL/room)]],3)-Hotel_C_Reverse_Star_Band_Residual_Adjustment-Hotel_C_W_Median_Rating)*(tbl_Hotel_Multi[[w5,CDD=0]:[w5,CDD=0]]-tbl_Hotel_Multi[[wr]:[wr]])/Hotel_C_W_Median_Rating+tbl_Hotel_Multi[[wr]:[wr]]),
(6.50001+Hotel_C_Reverse_Star_Band_Residual_Adjustment-LEFT(tbl_Hotel_Multi[[#Headers],[4.5* Max Water (kL/room)]],3))*tbl_Hotel_Multi[[w5,CDD=0]:[w5,CDD=0]]/2)</f>
        <v>93.388153043714567</v>
      </c>
      <c r="FW6" s="47">
        <f>IF(LEFT(tbl_Hotel_Multi[[#Headers],[4.0* Max Water (kL/room)]],3)*1&lt;=5,((LEFT(tbl_Hotel_Multi[[#Headers],[4.0* Max Water (kL/room)]],3)-Hotel_C_Reverse_Star_Band_Residual_Adjustment-Hotel_C_W_Median_Rating)*(tbl_Hotel_Multi[[w5,CDD=0]:[w5,CDD=0]]-tbl_Hotel_Multi[[wr]:[wr]])/Hotel_C_W_Median_Rating+tbl_Hotel_Multi[[wr]:[wr]]),
(6.50001+Hotel_C_Reverse_Star_Band_Residual_Adjustment-LEFT(tbl_Hotel_Multi[[#Headers],[4.0* Max Water (kL/room)]],3))*tbl_Hotel_Multi[[w5,CDD=0]:[w5,CDD=0]]/2)</f>
        <v>117.88139392380498</v>
      </c>
      <c r="FX6" s="47">
        <f>IF(LEFT(tbl_Hotel_Multi[[#Headers],[3.5* Max Water (kL/room)]],3)*1&lt;=5,((LEFT(tbl_Hotel_Multi[[#Headers],[3.5* Max Water (kL/room)]],3)-Hotel_C_Reverse_Star_Band_Residual_Adjustment-Hotel_C_W_Median_Rating)*(tbl_Hotel_Multi[[w5,CDD=0]:[w5,CDD=0]]-tbl_Hotel_Multi[[wr]:[wr]])/Hotel_C_W_Median_Rating+tbl_Hotel_Multi[[wr]:[wr]]),
(6.50001+Hotel_C_Reverse_Star_Band_Residual_Adjustment-LEFT(tbl_Hotel_Multi[[#Headers],[3.5* Max Water (kL/room)]],3))*tbl_Hotel_Multi[[w5,CDD=0]:[w5,CDD=0]]/2)</f>
        <v>142.37463480389539</v>
      </c>
      <c r="FY6" s="47">
        <f>IF(LEFT(tbl_Hotel_Multi[[#Headers],[3.0* Max Water (kL/room)]],3)*1&lt;=5,((LEFT(tbl_Hotel_Multi[[#Headers],[3.0* Max Water (kL/room)]],3)-Hotel_C_Reverse_Star_Band_Residual_Adjustment-Hotel_C_W_Median_Rating)*(tbl_Hotel_Multi[[w5,CDD=0]:[w5,CDD=0]]-tbl_Hotel_Multi[[wr]:[wr]])/Hotel_C_W_Median_Rating+tbl_Hotel_Multi[[wr]:[wr]]),
(6.50001+Hotel_C_Reverse_Star_Band_Residual_Adjustment-LEFT(tbl_Hotel_Multi[[#Headers],[3.0* Max Water (kL/room)]],3))*tbl_Hotel_Multi[[w5,CDD=0]:[w5,CDD=0]]/2)</f>
        <v>166.8678756839858</v>
      </c>
      <c r="FZ6" s="47">
        <f>IF(LEFT(tbl_Hotel_Multi[[#Headers],[2.5* Max Water (kL/room)]],3)*1&lt;=5,((LEFT(tbl_Hotel_Multi[[#Headers],[2.5* Max Water (kL/room)]],3)-Hotel_C_Reverse_Star_Band_Residual_Adjustment-Hotel_C_W_Median_Rating)*(tbl_Hotel_Multi[[w5,CDD=0]:[w5,CDD=0]]-tbl_Hotel_Multi[[wr]:[wr]])/Hotel_C_W_Median_Rating+tbl_Hotel_Multi[[wr]:[wr]]),
(6.50001+Hotel_C_Reverse_Star_Band_Residual_Adjustment-LEFT(tbl_Hotel_Multi[[#Headers],[2.5* Max Water (kL/room)]],3))*tbl_Hotel_Multi[[w5,CDD=0]:[w5,CDD=0]]/2)</f>
        <v>191.36111656407621</v>
      </c>
      <c r="GA6" s="47">
        <f>IF(LEFT(tbl_Hotel_Multi[[#Headers],[2.0* Max Water (kL/room)]],3)*1&lt;=5,((LEFT(tbl_Hotel_Multi[[#Headers],[2.0* Max Water (kL/room)]],3)-Hotel_C_Reverse_Star_Band_Residual_Adjustment-Hotel_C_W_Median_Rating)*(tbl_Hotel_Multi[[w5,CDD=0]:[w5,CDD=0]]-tbl_Hotel_Multi[[wr]:[wr]])/Hotel_C_W_Median_Rating+tbl_Hotel_Multi[[wr]:[wr]]),
(6.50001+Hotel_C_Reverse_Star_Band_Residual_Adjustment-LEFT(tbl_Hotel_Multi[[#Headers],[2.0* Max Water (kL/room)]],3))*tbl_Hotel_Multi[[w5,CDD=0]:[w5,CDD=0]]/2)</f>
        <v>215.85435744416662</v>
      </c>
      <c r="GB6" s="47">
        <f>IF(LEFT(tbl_Hotel_Multi[[#Headers],[1.5* Max Water (kL/room)]],3)*1&lt;=5,((LEFT(tbl_Hotel_Multi[[#Headers],[1.5* Max Water (kL/room)]],3)-Hotel_C_Reverse_Star_Band_Residual_Adjustment-Hotel_C_W_Median_Rating)*(tbl_Hotel_Multi[[w5,CDD=0]:[w5,CDD=0]]-tbl_Hotel_Multi[[wr]:[wr]])/Hotel_C_W_Median_Rating+tbl_Hotel_Multi[[wr]:[wr]]),
(6.50001+Hotel_C_Reverse_Star_Band_Residual_Adjustment-LEFT(tbl_Hotel_Multi[[#Headers],[1.5* Max Water (kL/room)]],3))*tbl_Hotel_Multi[[w5,CDD=0]:[w5,CDD=0]]/2)</f>
        <v>240.34759832425704</v>
      </c>
      <c r="GC6" s="47">
        <f>IF(LEFT(tbl_Hotel_Multi[[#Headers],[1.0* Max Water (kL/room)]],3)*1&lt;=5,((LEFT(tbl_Hotel_Multi[[#Headers],[1.0* Max Water (kL/room)]],3)-Hotel_C_Reverse_Star_Band_Residual_Adjustment-Hotel_C_W_Median_Rating)*(tbl_Hotel_Multi[[w5,CDD=0]:[w5,CDD=0]]-tbl_Hotel_Multi[[wr]:[wr]])/Hotel_C_W_Median_Rating+tbl_Hotel_Multi[[wr]:[wr]]),
(6.50001+Hotel_C_Reverse_Star_Band_Residual_Adjustment-LEFT(tbl_Hotel_Multi[[#Headers],[1.0* Max Water (kL/room)]],3))*tbl_Hotel_Multi[[w5,CDD=0]:[w5,CDD=0]]/2)</f>
        <v>264.84083920434745</v>
      </c>
      <c r="GD6" s="47">
        <f>IF(LEFT(tbl_Hotel_Multi[[#Headers],[0.0* Max Water (kL/room)]],3)*1&lt;=5,((LEFT(tbl_Hotel_Multi[[#Headers],[0.0* Max Water (kL/room)]],3)-Hotel_C_Reverse_Star_Band_Residual_Adjustment-Hotel_C_W_Median_Rating)*(tbl_Hotel_Multi[[w5,CDD=0]:[w5,CDD=0]]-tbl_Hotel_Multi[[wr]:[wr]])/Hotel_C_W_Median_Rating+tbl_Hotel_Multi[[wr]:[wr]]),
(6.50001+Hotel_C_Reverse_Star_Band_Residual_Adjustment-LEFT(tbl_Hotel_Multi[[#Headers],[0.0* Max Water (kL/room)]],3))*tbl_Hotel_Multi[[w5,CDD=0]:[w5,CDD=0]]/2)</f>
        <v>313.82732096452833</v>
      </c>
      <c r="GE6" s="44">
        <f>ROUNDDOWN(tbl_Hotel_Multi[[#This Row],[6.0* Max Water (kL/room)]]*tbl_Hotel_Multi[[Rooms]:[Rooms]],0)</f>
        <v>4443</v>
      </c>
      <c r="GF6" s="44">
        <f>ROUNDDOWN(tbl_Hotel_Multi[[#This Row],[5.5* Max Water (kL/room)]]*tbl_Hotel_Multi[[Rooms]:[Rooms]],0)</f>
        <v>6665</v>
      </c>
      <c r="GG6" s="44">
        <f>ROUNDDOWN(tbl_Hotel_Multi[[#This Row],[5.0* Max Water (kL/room)]]*tbl_Hotel_Multi[[Rooms]:[Rooms]],0)</f>
        <v>8887</v>
      </c>
      <c r="GH6" s="44">
        <f>ROUNDDOWN(tbl_Hotel_Multi[[#This Row],[4.5* Max Water (kL/room)]]*tbl_Hotel_Multi[[Rooms]:[Rooms]],0)</f>
        <v>12047</v>
      </c>
      <c r="GI6" s="44">
        <f>ROUNDDOWN(tbl_Hotel_Multi[[#This Row],[4.0* Max Water (kL/room)]]*tbl_Hotel_Multi[[Rooms]:[Rooms]],0)</f>
        <v>15206</v>
      </c>
      <c r="GJ6" s="44">
        <f>ROUNDDOWN(tbl_Hotel_Multi[[#This Row],[3.5* Max Water (kL/room)]]*tbl_Hotel_Multi[[Rooms]:[Rooms]],0)</f>
        <v>18366</v>
      </c>
      <c r="GK6" s="44">
        <f>ROUNDDOWN(tbl_Hotel_Multi[[#This Row],[3.0* Max Water (kL/room)]]*tbl_Hotel_Multi[[Rooms]:[Rooms]],0)</f>
        <v>21525</v>
      </c>
      <c r="GL6" s="44">
        <f>ROUNDDOWN(tbl_Hotel_Multi[[#This Row],[2.5* Max Water (kL/room)]]*tbl_Hotel_Multi[[Rooms]:[Rooms]],0)</f>
        <v>24685</v>
      </c>
      <c r="GM6" s="44">
        <f>ROUNDDOWN(tbl_Hotel_Multi[[#This Row],[2.0* Max Water (kL/room)]]*tbl_Hotel_Multi[[Rooms]:[Rooms]],0)</f>
        <v>27845</v>
      </c>
      <c r="GN6" s="44">
        <f>ROUNDDOWN(tbl_Hotel_Multi[[#This Row],[1.5* Max Water (kL/room)]]*tbl_Hotel_Multi[[Rooms]:[Rooms]],0)</f>
        <v>31004</v>
      </c>
      <c r="GO6" s="44">
        <f>ROUNDDOWN(tbl_Hotel_Multi[[#This Row],[1.0* Max Water (kL/room)]]*tbl_Hotel_Multi[[Rooms]:[Rooms]],0)</f>
        <v>34164</v>
      </c>
      <c r="GP6" s="44">
        <f>ROUNDDOWN(tbl_Hotel_Multi[[#This Row],[0.0* Max Water (kL/room)]]*tbl_Hotel_Multi[[Rooms]:[Rooms]],0)</f>
        <v>40483</v>
      </c>
      <c r="GQ6" s="44">
        <f>SUM(tbl_Hotel_Multi[[#This Row],[Electricity]]*(1-tbl_Hotel_Multi[[#This Row],[GP]])*tbl_Hotel_Multi[[#This Row],[SGEe Scopes 1,2&amp;3]],
tbl_Hotel_Multi[[#This Row],[Gas]]*tbl_Hotel_Multi[[#This Row],[SGEg Scopes 1,2&amp;3]],
tbl_Hotel_Multi[[#This Row],[Diesel]]*tbl_Hotel_Multi[[#This Row],[SGEd Scopes 1,2&amp;3]])</f>
        <v>528095.10420000006</v>
      </c>
      <c r="GR6" s="44">
        <f>SUM(tbl_Hotel_Multi[[#This Row],[Electricity]]*(1-tbl_Hotel_Multi[[#This Row],[GP]])*tbl_Hotel_Multi[[#This Row],[SGEe Scopes 1&amp;2]],
tbl_Hotel_Multi[[#This Row],[Gas]]*tbl_Hotel_Multi[[#This Row],[SGEg Scopes 1&amp;2]],
tbl_Hotel_Multi[[#This Row],[Diesel]]*tbl_Hotel_Multi[[#This Row],[SGEd Scopes 1&amp;2]])</f>
        <v>480452.87971999997</v>
      </c>
      <c r="GS6" s="45">
        <f>IF(tbl_Hotel_Multi[[#This Row],[Energy Star Decimal (with GP)]]&lt;1,0,MIN(ROUNDDOWN(tbl_Hotel_Multi[[#This Row],[Energy Star Decimal (with GP)]]*2,0)/2,6))</f>
        <v>5.5</v>
      </c>
      <c r="GT6" s="45">
        <f>tbl_Hotel_Multi[[#This Row],[R (with GP)]]+Hotel_C_FWD_Star_Band_Residual_Adjustment</f>
        <v>5.7297793795580301</v>
      </c>
      <c r="GU6" s="45">
        <f>IF(tbl_Hotel_Multi[[#This Row],[Energy Star Decimal (no GP)]]&lt;1,0,MIN(ROUNDDOWN(tbl_Hotel_Multi[[#This Row],[Energy Star Decimal (no GP)]]*2,0)/2,6))</f>
        <v>5.5</v>
      </c>
      <c r="GV6" s="45">
        <f>tbl_Hotel_Multi[[#This Row],[R (no GP)]]+Hotel_C_FWD_Star_Band_Residual_Adjustment</f>
        <v>5.7297793795580301</v>
      </c>
      <c r="GW6" s="45">
        <f>IF(Hotel_C_E_Median_Rating+Hotel_C_E_Rating_Coefficient*tbl_Hotel_Multi[[#This Row],[p (with GP)]]&gt;5,Hotel_C_E_Median_R_above_5_stars+Hotel_C_E_Rating_Coefficient_above_5_stars*tbl_Hotel_Multi[[#This Row],[p (with GP)]],Hotel_C_E_Median_Rating+Hotel_C_E_Rating_Coefficient*tbl_Hotel_Multi[[#This Row],[p (with GP)]])</f>
        <v>5.2297793795580301</v>
      </c>
      <c r="GX6" s="45">
        <f>IF(Hotel_C_E_Median_Rating+Hotel_C_E_Rating_Coefficient*tbl_Hotel_Multi[[#This Row],[p (no GP)]]&gt;5,Hotel_C_E_Median_R_above_5_stars+Hotel_C_E_Rating_Coefficient_above_5_stars*tbl_Hotel_Multi[[#This Row],[p (no GP)]],Hotel_C_E_Median_Rating+Hotel_C_E_Rating_Coefficient*tbl_Hotel_Multi[[#This Row],[p (no GP)]])</f>
        <v>5.2297793795580301</v>
      </c>
      <c r="GY6" s="45">
        <f>SUM(tbl_Hotel_Multi[[#This Row],[Electricity]]*(1-tbl_Hotel_Multi[[#This Row],[GP]])*tbl_Hotel_Multi[[#This Row],[SGEe]],
tbl_Hotel_Multi[[#This Row],[Gas]]*tbl_Hotel_Multi[[#This Row],[SGEg]],
tbl_Hotel_Multi[[#This Row],[Diesel]]*tbl_Hotel_Multi[[#This Row],[SGEd]])
/tbl_Hotel_Multi[[#This Row],[Rooms]]</f>
        <v>4190.7323581395349</v>
      </c>
      <c r="GZ6" s="45">
        <f>SUM(tbl_Hotel_Multi[[#This Row],[Electricity]]*tbl_Hotel_Multi[[#This Row],[SGEe]],
tbl_Hotel_Multi[[#This Row],[Gas]]*tbl_Hotel_Multi[[#This Row],[SGEg]],
tbl_Hotel_Multi[[#This Row],[Diesel]]*tbl_Hotel_Multi[[#This Row],[SGEd]])
/tbl_Hotel_Multi[[#This Row],[Rooms]]</f>
        <v>4190.7323581395349</v>
      </c>
      <c r="HA6" s="45">
        <f>(tbl_Hotel_Multi[[#This Row],[e (with GP)]]-tbl_Hotel_Multi[[#This Row],[er (from A unrounded)]])/tbl_Hotel_Multi[[#This Row],[er (from A unrounded)]]</f>
        <v>-0.7351919712222108</v>
      </c>
      <c r="HB6" s="45">
        <f>(tbl_Hotel_Multi[[#This Row],[e (no GP)]]-tbl_Hotel_Multi[[#This Row],[er (from A unrounded)]])/tbl_Hotel_Multi[[#This Row],[er (from A unrounded)]]</f>
        <v>-0.7351919712222108</v>
      </c>
      <c r="HC6" s="45">
        <f>IF(tbl_Hotel_Multi[[#This Row],[Water Star Decimal (with recyc)]]&lt;1,0,MIN(ROUNDDOWN(tbl_Hotel_Multi[[#This Row],[Water Star Decimal (with recyc)]]*2,0)/2,6))</f>
        <v>2.5</v>
      </c>
      <c r="HD6" s="45">
        <f>tbl_Hotel_Multi[[#This Row],[R (with recyc)]]+Hotel_C_FWD_Star_Band_Residual_Adjustment</f>
        <v>2.6463121632117255</v>
      </c>
      <c r="HE6" s="45">
        <f>IF(tbl_Hotel_Multi[[#This Row],[Water Star Decimal (no recyc)]]&lt;1,0,MIN(ROUNDDOWN(tbl_Hotel_Multi[[#This Row],[Water Star Decimal (no recyc)]]*2,0)/2,6))</f>
        <v>2.5</v>
      </c>
      <c r="HF6" s="45">
        <f>tbl_Hotel_Multi[[#This Row],[R (no recyc)]]+Hotel_C_FWD_Star_Band_Residual_Adjustment</f>
        <v>2.6463121632117255</v>
      </c>
      <c r="HG6" s="36">
        <f>tbl_Hotel_Multi[[#This Row],[water]]*(1-tbl_Hotel_Multi[[#This Row],[RW]])/tbl_Hotel_Multi[[#This Row],[Rooms]]</f>
        <v>184.19379844961242</v>
      </c>
      <c r="HH6" s="36">
        <f>tbl_Hotel_Multi[[#This Row],[water]]/tbl_Hotel_Multi[[#This Row],[Rooms]]</f>
        <v>184.19379844961242</v>
      </c>
      <c r="HI6" s="36">
        <f>IF(Hotel_C_W_Median_Rating*((tbl_Hotel_Multi[[#This Row],[w (with recyc)]]-tbl_Hotel_Multi[[#This Row],[wr]])/(tbl_Hotel_Multi[[#This Row],[w5,CDD=0]]-tbl_Hotel_Multi[[#This Row],[wr]]))+Hotel_C_W_Median_Rating&lt;=5,Hotel_C_W_Median_Rating*((tbl_Hotel_Multi[[#This Row],[w (with recyc)]]-tbl_Hotel_Multi[[#This Row],[wr]])/(tbl_Hotel_Multi[[#This Row],[w5,CDD=0]]-tbl_Hotel_Multi[[#This Row],[wr]]))+Hotel_C_W_Median_Rating,
6.50001-2/tbl_Hotel_Multi[[#This Row],[w5,CDD=0]]*tbl_Hotel_Multi[[#This Row],[w (with recyc)]])</f>
        <v>2.1463121632117255</v>
      </c>
      <c r="HJ6" s="36">
        <f>IF(Hotel_C_W_Median_Rating*((tbl_Hotel_Multi[[#This Row],[w (no recyc)]]-tbl_Hotel_Multi[[#This Row],[wr]])/(tbl_Hotel_Multi[[#This Row],[w5,CDD=0]]-tbl_Hotel_Multi[[#This Row],[wr]]))+Hotel_C_W_Median_Rating&lt;=5,Hotel_C_W_Median_Rating*((tbl_Hotel_Multi[[#This Row],[w (no recyc)]]-tbl_Hotel_Multi[[#This Row],[wr]])/(tbl_Hotel_Multi[[#This Row],[w5,CDD=0]]-tbl_Hotel_Multi[[#This Row],[wr]]))+Hotel_C_W_Median_Rating,
6.50001-2/tbl_Hotel_Multi[[#This Row],[w5,CDD=0]]*tbl_Hotel_Multi[[#This Row],[w (no recyc)]])</f>
        <v>2.1463121632117255</v>
      </c>
    </row>
  </sheetData>
  <sheetProtection selectLockedCells="1"/>
  <phoneticPr fontId="45" type="noConversion"/>
  <dataValidations count="1">
    <dataValidation type="list" allowBlank="1" showInputMessage="1" showErrorMessage="1" sqref="D4:D6" xr:uid="{451082BA-C72A-4854-8173-F808F000A0DE}">
      <formula1>List_Hotel_Star_Rating</formula1>
    </dataValidation>
  </dataValidations>
  <pageMargins left="0.42" right="0.44" top="0.56000000000000005" bottom="0.6" header="0.34" footer="0.4"/>
  <pageSetup paperSize="9" orientation="portrait" blackAndWhite="1" r:id="rId1"/>
  <headerFooter alignWithMargins="0">
    <oddFooter>&amp;R&amp;D</oddFooter>
  </headerFooter>
  <ignoredErrors>
    <ignoredError sqref="BC4 CA4 CM4:CX4 HA4:HB4 FS4:GD4 BF4:BL4 CY4:DJ4" calculatedColumn="1"/>
    <ignoredError sqref="Y4:AD4 M4:N4 V4:W4 A4:K4 Q4:U4" unlockedFormula="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B2986E406E644EAEBD04331045EEFA" ma:contentTypeVersion="22" ma:contentTypeDescription="Create a new document." ma:contentTypeScope="" ma:versionID="500496b5b96ccfb57279df2aceefed11">
  <xsd:schema xmlns:xsd="http://www.w3.org/2001/XMLSchema" xmlns:xs="http://www.w3.org/2001/XMLSchema" xmlns:p="http://schemas.microsoft.com/office/2006/metadata/properties" xmlns:ns1="http://schemas.microsoft.com/sharepoint/v3" xmlns:ns2="5bee7c71-cfe6-48ab-9ba7-3a914dd5e4c4" xmlns:ns3="d169844b-d1ff-4126-87e2-905c6feede16" xmlns:ns4="4a5dd90e-367a-41ec-8f90-a2fa4b8e94f7" targetNamespace="http://schemas.microsoft.com/office/2006/metadata/properties" ma:root="true" ma:fieldsID="1f42c61676f4345100de7f0f83a1a34b" ns1:_="" ns2:_="" ns3:_="" ns4:_="">
    <xsd:import namespace="http://schemas.microsoft.com/sharepoint/v3"/>
    <xsd:import namespace="5bee7c71-cfe6-48ab-9ba7-3a914dd5e4c4"/>
    <xsd:import namespace="d169844b-d1ff-4126-87e2-905c6feede16"/>
    <xsd:import namespace="4a5dd90e-367a-41ec-8f90-a2fa4b8e94f7"/>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oveto" minOccurs="0"/>
                <xsd:element ref="ns2:MediaServiceLocation" minOccurs="0"/>
                <xsd:element ref="ns2:_Flow_SignoffStatus" minOccurs="0"/>
                <xsd:element ref="ns2:MediaLengthInSeconds" minOccurs="0"/>
                <xsd:element ref="ns2:lcf76f155ced4ddcb4097134ff3c332f" minOccurs="0"/>
                <xsd:element ref="ns4:TaxCatchAll"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9" nillable="true" ma:displayName="Unified Compliance Policy Properties" ma:hidden="true" ma:internalName="_ip_UnifiedCompliancePolicyProperties">
      <xsd:simpleType>
        <xsd:restriction base="dms:Note"/>
      </xsd:simpleType>
    </xsd:element>
    <xsd:element name="_ip_UnifiedCompliancePolicyUIAction" ma:index="3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ee7c71-cfe6-48ab-9ba7-3a914dd5e4c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oveto" ma:index="21" nillable="true" ma:displayName="Move to " ma:format="Dropdown" ma:internalName="Moveto">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_Flow_SignoffStatus" ma:index="23" nillable="true" ma:displayName="Sign-off status" ma:internalName="Sign_x002d_off_x0020_status">
      <xsd:simpleType>
        <xsd:restriction base="dms:Text"/>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69844b-d1ff-4126-87e2-905c6feede1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5dd90e-367a-41ec-8f90-a2fa4b8e94f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7ee85653-6c5c-4426-b1d9-a855ff70dc16}" ma:internalName="TaxCatchAll" ma:showField="CatchAllData" ma:web="4a5dd90e-367a-41ec-8f90-a2fa4b8e94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I Z l p V + + Y / 4 + k A A A A 9 g A A A B I A H A B D b 2 5 m a W c v U G F j a 2 F n Z S 5 4 b W w g o h g A K K A U A A A A A A A A A A A A A A A A A A A A A A A A A A A A h Y 9 B D o I w F E S v Q r q n L d W F I Z 8 S 4 1 Y S E 6 N x 2 5 Q K j f A x t A h 3 c + G R v I I Y R d 2 5 n D d v M X O / 3 i A d 6 i q 4 m N b Z B h M S U U 4 C g 7 r J L R Y J 6 f w x X J B U w k b p k y p M M M r o 4 s H l C S m 9 P 8 e M 9 X 1 P + x l t 2 o I J z i N 2 y N Z b X Z p a k Y 9 s / 8 u h R e c V a k M k 7 F 9 j p K C R E F T M B e X A J g i Z x a 8 g x r 3 P 9 g f C q q t 8 1 x p p M F z u g E 0 R 2 P u D f A B Q S w M E F A A C A A g A I Z l p 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G Z a V c o i k e 4 D g A A A B E A A A A T A B w A R m 9 y b X V s Y X M v U 2 V j d G l v b j E u b S C i G A A o o B Q A A A A A A A A A A A A A A A A A A A A A A A A A A A A r T k 0 u y c z P U w i G 0 I b W A F B L A Q I t A B Q A A g A I A C G Z a V f v m P + P p A A A A P Y A A A A S A A A A A A A A A A A A A A A A A A A A A A B D b 2 5 m a W c v U G F j a 2 F n Z S 5 4 b W x Q S w E C L Q A U A A I A C A A h m W l X D 8 r p q 6 Q A A A D p A A A A E w A A A A A A A A A A A A A A A A D w A A A A W 0 N v b n R l b n R f V H l w Z X N d L n h t b F B L A Q I t A B Q A A g A I A C G Z a V 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U W g k a / S G S T a R H I H w v 7 M v f A A A A A A I A A A A A A B B m A A A A A Q A A I A A A A A K u c K B 5 L H V u v G N E w J 8 U l w M 0 c g H g H 5 8 b 8 R D U o x p S v K W p A A A A A A 6 A A A A A A g A A I A A A A N 8 v 6 m 3 n p 4 b c d q C D s c 4 g + p K T 3 1 1 u z n Y 1 1 l 2 f 4 + n w a b I L U A A A A K w n w Z c m I 6 c Q t J E 5 d m G R 0 N a 9 A / i X s / I N Y E j G d l N M 5 m j Q 5 G F 2 H 9 m I P i 7 l U n a 9 z i X h e q 2 b T M 1 Q E O 1 H F D P w S D H F Q t N k b m W d V D 1 Z K h 4 9 A w j / Y 0 P h Q A A A A G y a f J B l j 7 e k x 0 X U U V H Z w R I A G B j f Q J w A C S r a T T o 1 j J G 1 e W X Y j 8 A y T Z 7 O 4 G S 4 G V l 2 G q 7 b e p Y D E E + n p 3 o B A I d Q N s 4 = < / D a t a M a s h u p > 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_Flow_SignoffStatus xmlns="5bee7c71-cfe6-48ab-9ba7-3a914dd5e4c4" xsi:nil="true"/>
    <PublishingStartDate xmlns="http://schemas.microsoft.com/sharepoint/v3" xsi:nil="true"/>
    <Moveto xmlns="5bee7c71-cfe6-48ab-9ba7-3a914dd5e4c4" xsi:nil="true"/>
    <TaxCatchAll xmlns="4a5dd90e-367a-41ec-8f90-a2fa4b8e94f7" xsi:nil="true"/>
    <lcf76f155ced4ddcb4097134ff3c332f xmlns="5bee7c71-cfe6-48ab-9ba7-3a914dd5e4c4">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F91B47-8D36-4AAD-BCE1-0171B8B7BD58}"/>
</file>

<file path=customXml/itemProps2.xml><?xml version="1.0" encoding="utf-8"?>
<ds:datastoreItem xmlns:ds="http://schemas.openxmlformats.org/officeDocument/2006/customXml" ds:itemID="{1BAE56A2-7363-4DC4-84A7-70BE738CFBC4}"/>
</file>

<file path=customXml/itemProps3.xml><?xml version="1.0" encoding="utf-8"?>
<ds:datastoreItem xmlns:ds="http://schemas.openxmlformats.org/officeDocument/2006/customXml" ds:itemID="{1D678B0B-3B8F-4054-95B3-9DC9C5242071}"/>
</file>

<file path=customXml/itemProps4.xml><?xml version="1.0" encoding="utf-8"?>
<ds:datastoreItem xmlns:ds="http://schemas.openxmlformats.org/officeDocument/2006/customXml" ds:itemID="{8AA4787B-5E77-492C-9C62-3389D2613F8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Ron.Pulido@environment.nsw.gov.au</dc:creator>
  <cp:keywords/>
  <dc:description/>
  <cp:lastModifiedBy/>
  <cp:revision/>
  <dcterms:created xsi:type="dcterms:W3CDTF">2021-01-04T02:42:11Z</dcterms:created>
  <dcterms:modified xsi:type="dcterms:W3CDTF">2023-11-30T03:27:15Z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0x010100E7B2986E406E644EAEBD04331045EEFA</vt:lpwstr>
  </property>
  <property fmtid="{D5CDD505-2E9C-101B-9397-08002B2CF9AE}" pid="3" name="MediaServiceImageTags">
    <vt:lpwstr/>
  </property>
</Properties>
</file>